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codeName="ThisWorkbook" autoCompressPictures="0"/>
  <mc:AlternateContent xmlns:mc="http://schemas.openxmlformats.org/markup-compatibility/2006">
    <mc:Choice Requires="x15">
      <x15ac:absPath xmlns:x15ac="http://schemas.microsoft.com/office/spreadsheetml/2010/11/ac" url="W:\0_WICHTIGES\3_Zertifikate_Zeugnisse_Erklärungen\CMRT_VERTIV_Knürr_FMD_-CMRT\2023_CMRT\"/>
    </mc:Choice>
  </mc:AlternateContent>
  <xr:revisionPtr revIDLastSave="0" documentId="8_{49DC03F6-DBA7-4A16-B256-24214B53BA35}"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9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C5" i="5" l="1"/>
  <c r="V5" i="5"/>
  <c r="E5" i="5"/>
  <c r="B5" i="5"/>
  <c r="P3" i="4"/>
  <c r="C4" i="5"/>
  <c r="F69"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<sst xmlns="http://schemas.openxmlformats.org/spreadsheetml/2006/main" count="22145" uniqueCount="15665">
  <si>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</si>
  <si>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</si>
  <si>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</si>
  <si>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</si>
  <si>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</si>
  <si>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</si>
  <si>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</si>
  <si>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</si>
  <si>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</si>
  <si>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</si>
  <si>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</si>
  <si>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</si>
  <si>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</si>
  <si>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</si>
  <si>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</si>
  <si>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</si>
  <si>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</si>
  <si>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</si>
  <si>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</si>
  <si>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</si>
  <si>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</si>
  <si>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</si>
  <si>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</si>
  <si>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</si>
  <si>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</si>
  <si>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</si>
  <si>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</si>
  <si>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</si>
  <si>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</si>
  <si>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</si>
  <si>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</si>
  <si>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</si>
  <si>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</si>
  <si>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</si>
  <si>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</si>
  <si>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</si>
  <si>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</si>
  <si>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</si>
  <si>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</si>
  <si>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</si>
  <si>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</si>
  <si>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</si>
  <si>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</si>
  <si>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</si>
  <si>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</si>
  <si>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</si>
  <si>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</si>
  <si>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</si>
  <si>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</si>
  <si>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</si>
  <si>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</si>
  <si>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</si>
  <si>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</si>
  <si>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</si>
  <si>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</si>
  <si>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</si>
  <si>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</si>
  <si>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</si>
  <si>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</si>
  <si>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</si>
  <si>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</si>
  <si>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</si>
  <si>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</si>
  <si>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</si>
  <si>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</si>
  <si>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</si>
  <si>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</si>
  <si>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</si>
  <si>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</si>
  <si>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</si>
  <si>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</si>
  <si>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</si>
  <si>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</si>
  <si>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</si>
  <si>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</si>
  <si>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</si>
  <si>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</si>
  <si>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</si>
  <si>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</si>
  <si>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</si>
  <si>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</si>
  <si>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</si>
  <si>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</si>
  <si>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</si>
  <si>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</si>
  <si>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</si>
  <si>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</si>
  <si>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</si>
  <si>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</si>
  <si>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</si>
  <si>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</si>
  <si>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</si>
  <si>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</si>
  <si>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</si>
  <si>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</si>
  <si>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</si>
  <si>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</si>
  <si>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</si>
  <si>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</si>
  <si>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</si>
  <si>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</si>
  <si>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</si>
  <si>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</si>
  <si>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</si>
  <si>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</si>
  <si>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</si>
  <si>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</si>
  <si>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</si>
  <si>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</si>
  <si>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</si>
  <si>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</si>
  <si>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</si>
  <si>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</si>
  <si>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</si>
  <si>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</si>
  <si>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</si>
  <si>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</si>
  <si>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</si>
  <si>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</si>
  <si>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</si>
  <si>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</si>
  <si>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</si>
  <si>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</si>
  <si>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</si>
  <si>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</si>
  <si>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</si>
  <si>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</si>
  <si>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</si>
  <si>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</si>
  <si>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</si>
  <si>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</si>
  <si>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</si>
  <si>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</si>
  <si>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</si>
  <si>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</si>
  <si>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</si>
  <si>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</si>
  <si>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</si>
  <si>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</si>
  <si>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</si>
  <si>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</si>
  <si>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</si>
  <si>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</si>
  <si>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</si>
  <si>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</si>
  <si>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</si>
  <si>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</si>
  <si>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</si>
  <si>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</si>
  <si>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</si>
  <si>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</si>
  <si>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</si>
  <si>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</si>
  <si>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</si>
  <si>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</si>
  <si>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</si>
  <si>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</si>
  <si>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</si>
  <si>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</si>
  <si>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</si>
  <si>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</si>
  <si>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</si>
  <si>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</si>
  <si>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</si>
  <si>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</si>
  <si>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</si>
  <si>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</si>
  <si>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</si>
  <si>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</si>
  <si>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</si>
  <si>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</si>
  <si>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</si>
  <si>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</si>
  <si>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</si>
  <si>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</si>
  <si>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</si>
  <si>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</si>
  <si>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</si>
  <si>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</si>
  <si>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</si>
  <si>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</si>
  <si>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</si>
  <si>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</si>
  <si>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</si>
  <si>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</si>
  <si>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</si>
  <si>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</si>
  <si>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</si>
  <si>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</si>
  <si>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</si>
  <si>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</si>
  <si>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</si>
  <si>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</si>
  <si>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</si>
  <si>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</si>
  <si>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</si>
  <si>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</si>
  <si>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</si>
  <si>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</si>
  <si>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</si>
  <si>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</si>
  <si>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</si>
  <si>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</si>
  <si>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</si>
  <si>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</si>
  <si>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</si>
  <si>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</si>
  <si>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</si>
  <si>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</si>
  <si>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</si>
  <si>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</si>
  <si>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</si>
  <si>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</si>
  <si>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</si>
  <si>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</si>
  <si>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</si>
  <si>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</si>
  <si>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</si>
  <si>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</si>
  <si>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</si>
  <si>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</si>
  <si>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</si>
  <si>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</si>
  <si>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</si>
  <si>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</si>
  <si>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</si>
  <si>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</si>
  <si>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</si>
  <si>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</si>
  <si>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</si>
  <si>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</si>
  <si>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</si>
  <si>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</si>
  <si>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</si>
  <si>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</si>
  <si>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</si>
  <si>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</si>
  <si>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</si>
  <si>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</si>
  <si>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</si>
  <si>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</si>
  <si>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</si>
  <si>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</si>
  <si>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</si>
  <si>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</si>
  <si>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</si>
  <si>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</si>
  <si>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</si>
  <si>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</si>
  <si>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</si>
  <si>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</si>
  <si>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</si>
  <si>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</si>
  <si>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</si>
  <si>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</si>
  <si>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</si>
  <si>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</si>
  <si>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</si>
  <si>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</si>
  <si>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</si>
  <si>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</si>
  <si>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</si>
  <si>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</si>
  <si>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</si>
  <si>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</si>
  <si>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</si>
  <si>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</si>
  <si>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</si>
  <si>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</si>
  <si>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</si>
  <si>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</si>
  <si>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</si>
  <si>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</si>
  <si>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</si>
  <si>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</si>
  <si>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</si>
  <si>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</si>
  <si>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</si>
  <si>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</si>
  <si>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</si>
  <si>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</si>
  <si>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</si>
  <si>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</si>
  <si>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</si>
  <si>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</si>
  <si>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</si>
  <si>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</si>
  <si>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</si>
  <si>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</si>
  <si>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</si>
  <si>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</si>
  <si>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</si>
  <si>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</si>
  <si>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</si>
  <si>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</si>
  <si>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</si>
  <si>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</si>
  <si>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</si>
  <si>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</si>
  <si>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</si>
  <si>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</si>
  <si>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</si>
  <si>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</si>
  <si>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</si>
  <si>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</si>
  <si>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</si>
  <si>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</si>
  <si>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</si>
  <si>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</si>
  <si>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</si>
  <si>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</si>
  <si>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</si>
  <si>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</si>
  <si>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</si>
  <si>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</si>
  <si>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</si>
  <si>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</si>
  <si>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</si>
  <si>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</si>
  <si>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</si>
  <si>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</si>
  <si>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</si>
  <si>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</si>
  <si>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</si>
  <si>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</si>
  <si>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</si>
  <si>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</si>
  <si>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</si>
  <si>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</si>
  <si>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</si>
  <si>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</si>
  <si>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</si>
  <si>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</si>
  <si>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</si>
  <si>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</si>
  <si>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</si>
  <si>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</si>
  <si>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</si>
  <si>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</si>
  <si>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</si>
  <si>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</si>
  <si>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</si>
  <si>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</si>
  <si>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</si>
  <si>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</si>
  <si>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</si>
  <si>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</si>
  <si>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</si>
  <si>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</si>
  <si>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</si>
  <si>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</si>
  <si>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</si>
  <si>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</si>
  <si>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</si>
  <si>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</si>
  <si>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</si>
  <si>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</si>
  <si>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</si>
  <si>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</si>
  <si>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</si>
  <si>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</si>
  <si>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</si>
  <si>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</si>
  <si>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</si>
  <si>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</si>
  <si>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</si>
  <si>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</si>
  <si>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</si>
  <si>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</si>
  <si>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</si>
  <si>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</si>
  <si>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</si>
  <si>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</si>
  <si>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</si>
  <si>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</si>
  <si>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</si>
  <si>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</si>
  <si>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</si>
  <si>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</si>
  <si>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</si>
  <si>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</si>
  <si>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</si>
  <si>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</si>
  <si>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</si>
  <si>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</si>
  <si>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</si>
  <si>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</si>
  <si>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</si>
  <si>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</si>
  <si>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</si>
  <si>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</si>
  <si>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</si>
  <si>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</si>
  <si>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</si>
  <si>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</si>
  <si>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</si>
  <si>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</si>
  <si>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</si>
  <si>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</si>
  <si>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</si>
  <si>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</si>
  <si>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</si>
  <si>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</si>
  <si>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</si>
  <si>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</si>
  <si>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</si>
  <si>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</si>
  <si>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</si>
  <si>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</si>
  <si>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</si>
  <si>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</si>
  <si>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</si>
  <si>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</si>
  <si>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</si>
  <si>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</si>
  <si>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</si>
  <si>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</si>
  <si>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</si>
  <si>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</si>
  <si>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</si>
  <si>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</si>
  <si>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</si>
  <si>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</si>
  <si>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</si>
  <si>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</si>
  <si>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</si>
  <si>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</si>
  <si>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</si>
  <si>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</si>
  <si>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</si>
  <si>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</si>
  <si>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</si>
  <si>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</si>
  <si>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</si>
  <si>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</si>
  <si>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</si>
  <si>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</si>
  <si>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</si>
  <si>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</si>
  <si>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</si>
  <si>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</si>
  <si>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</si>
  <si>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</si>
  <si>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</si>
  <si>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</si>
  <si>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</si>
  <si>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</si>
  <si>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</si>
  <si>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</si>
  <si>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</si>
  <si>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</si>
  <si>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</si>
  <si>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</si>
  <si>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</si>
  <si>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</si>
  <si>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</si>
  <si>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</si>
  <si>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</si>
  <si>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</si>
  <si>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</si>
  <si>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</si>
  <si>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</si>
  <si>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</si>
  <si>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</si>
  <si>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</si>
  <si>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</si>
  <si>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</si>
  <si>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</si>
  <si>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</si>
  <si>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</si>
  <si>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</si>
  <si>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</si>
  <si>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</si>
  <si>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</si>
  <si>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</si>
  <si>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</si>
  <si>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</si>
  <si>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</si>
  <si>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</si>
  <si>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</si>
  <si>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</si>
  <si>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</si>
  <si>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</si>
  <si>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</si>
  <si>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</si>
  <si>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</si>
  <si>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</si>
  <si>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</si>
  <si>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</si>
  <si>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</si>
  <si>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</si>
  <si>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</si>
  <si>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</si>
  <si>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</si>
  <si>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</si>
  <si>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</si>
  <si>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</si>
  <si>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</si>
  <si>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</si>
  <si>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</si>
  <si>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</si>
  <si>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</si>
  <si>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</si>
  <si>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</si>
  <si>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</si>
  <si>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</si>
  <si>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</si>
  <si>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</si>
  <si>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</si>
  <si>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</si>
  <si>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</si>
  <si>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</si>
  <si>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</si>
  <si>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</si>
  <si>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</si>
  <si>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</si>
  <si>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</si>
  <si>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</si>
  <si>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</si>
  <si>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</si>
  <si>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</si>
  <si>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</si>
  <si>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</si>
  <si>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</si>
  <si>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</si>
  <si>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</si>
  <si>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</si>
  <si>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</si>
  <si>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</si>
  <si>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</si>
  <si>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</si>
  <si>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</si>
  <si>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</si>
  <si>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</si>
  <si>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</si>
  <si>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</si>
  <si>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</si>
  <si>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</si>
  <si>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</si>
  <si>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</si>
  <si>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</si>
  <si>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</si>
  <si>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</si>
  <si>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</si>
  <si>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</si>
  <si>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</si>
  <si>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</si>
  <si>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</si>
  <si>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</si>
  <si>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</si>
  <si>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</si>
  <si>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</si>
  <si>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</si>
  <si>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</si>
  <si>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</si>
  <si>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</si>
  <si>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</si>
  <si>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</si>
  <si>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</si>
  <si>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</si>
  <si>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</si>
  <si>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</si>
  <si>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</si>
  <si>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</si>
  <si>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</si>
  <si>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</si>
  <si>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</si>
  <si>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</si>
  <si>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</si>
  <si>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</si>
  <si>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</si>
  <si>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</si>
  <si>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</si>
  <si>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</si>
  <si>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</si>
  <si>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</si>
  <si>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</si>
  <si>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</si>
  <si>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</si>
  <si>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</si>
  <si>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</si>
  <si>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</si>
  <si>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</si>
  <si>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</si>
  <si>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</si>
  <si>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</si>
  <si>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</si>
  <si>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</si>
  <si>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</si>
  <si>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</si>
  <si>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</si>
  <si>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</si>
  <si>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</si>
  <si>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</si>
  <si>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</si>
  <si>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</si>
  <si>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</si>
  <si>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</si>
  <si>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</si>
  <si>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</si>
  <si>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</si>
  <si>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</si>
  <si>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</si>
  <si>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</si>
  <si>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</si>
  <si>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</si>
  <si>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</si>
  <si>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</si>
  <si>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</si>
  <si>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</si>
  <si>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</si>
  <si>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</si>
  <si>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</si>
  <si>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</si>
  <si>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</si>
  <si>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</si>
  <si>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</si>
  <si>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</si>
  <si>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</si>
  <si>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</si>
  <si>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</si>
  <si>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</si>
  <si>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</si>
  <si>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</si>
  <si>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</si>
  <si>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</si>
  <si>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</si>
  <si>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</si>
  <si>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</si>
  <si>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</si>
  <si>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</si>
  <si>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</si>
  <si>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</si>
  <si>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</si>
  <si>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</si>
  <si>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</si>
  <si>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</si>
  <si>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</si>
  <si>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</si>
  <si>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</si>
  <si>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</si>
  <si>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</si>
  <si>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</si>
  <si>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</si>
  <si>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</si>
  <si>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</si>
  <si>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</si>
  <si>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</si>
  <si>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</si>
  <si>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</si>
  <si>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</si>
  <si>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</si>
  <si>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</si>
  <si>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</si>
  <si>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</si>
  <si>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</si>
  <si>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</si>
  <si>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</si>
  <si>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</si>
  <si>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</si>
  <si>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</si>
  <si>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</si>
  <si>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</si>
  <si>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</si>
  <si>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</si>
  <si>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</si>
  <si>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</si>
  <si>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</si>
  <si>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</si>
  <si>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</si>
  <si>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</si>
  <si>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</si>
  <si>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</si>
  <si>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</si>
  <si>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</si>
  <si>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</si>
  <si>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</si>
  <si>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</si>
  <si>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</si>
  <si>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</si>
  <si>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</si>
  <si>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</si>
  <si>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</si>
  <si>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</si>
  <si>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</si>
  <si>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</si>
  <si>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</si>
  <si>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</si>
  <si>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</si>
  <si>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</si>
  <si>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</si>
  <si>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</si>
  <si>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</si>
  <si>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</si>
  <si>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</si>
  <si>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</si>
  <si>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</si>
  <si>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</si>
  <si>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</si>
  <si>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</si>
  <si>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</si>
  <si>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</si>
  <si>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</si>
  <si>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</si>
  <si>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</si>
  <si>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</si>
  <si>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</si>
  <si>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</si>
  <si>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</si>
  <si>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</si>
  <si>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</si>
  <si>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</si>
  <si>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</si>
  <si>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</si>
  <si>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</si>
  <si>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</si>
  <si>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</si>
  <si>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</si>
  <si>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</si>
  <si>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</si>
  <si>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</si>
  <si>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</si>
  <si>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</si>
  <si>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</si>
  <si>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</si>
  <si>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</si>
  <si>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</si>
  <si>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</si>
  <si>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</si>
  <si>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</si>
  <si>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</si>
  <si>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</si>
  <si>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</si>
  <si>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</si>
  <si>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</si>
  <si>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</si>
  <si>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</si>
  <si>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</si>
  <si>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</si>
  <si>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</si>
  <si>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</si>
  <si>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</si>
  <si>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</si>
  <si>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</si>
  <si>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</si>
  <si>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</si>
  <si>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</si>
  <si>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</si>
  <si>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</si>
  <si>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</si>
  <si>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</si>
  <si>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</si>
  <si>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</si>
  <si>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</si>
  <si>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</si>
  <si>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</si>
  <si>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</si>
  <si>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</si>
  <si>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</si>
  <si>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</si>
  <si>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</si>
  <si>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</si>
  <si>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</si>
  <si>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</si>
  <si>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</si>
  <si>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</si>
  <si>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</si>
  <si>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</si>
  <si>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</si>
  <si>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</si>
  <si>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</si>
  <si>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</si>
  <si>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</si>
  <si>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</si>
  <si>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</si>
  <si>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</si>
  <si>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</si>
  <si>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</si>
  <si>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</si>
  <si>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</si>
  <si>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</si>
  <si>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</si>
  <si>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</si>
  <si>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</si>
  <si>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</si>
  <si>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</si>
  <si>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</si>
  <si>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</si>
  <si>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</si>
  <si>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</si>
  <si>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</si>
  <si>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</si>
  <si>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</si>
  <si>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</si>
  <si>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</si>
  <si>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</si>
  <si>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</si>
  <si>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</si>
  <si>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</si>
  <si>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</si>
  <si>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</si>
  <si>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</si>
  <si>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</si>
  <si>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</si>
  <si>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</si>
  <si>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</si>
  <si>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</si>
  <si>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</si>
  <si>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</si>
  <si>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</si>
  <si>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</si>
  <si>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</si>
  <si>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</si>
  <si>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</si>
  <si>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</si>
  <si>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</si>
  <si>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</si>
  <si>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</si>
  <si>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</si>
  <si>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</si>
  <si>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</si>
  <si>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</si>
  <si>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</si>
  <si>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</si>
  <si>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</si>
  <si>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</si>
  <si>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</si>
  <si>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</si>
  <si>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</si>
  <si>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</si>
  <si>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</si>
  <si>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</si>
  <si>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</si>
  <si>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</si>
  <si>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</si>
  <si>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</si>
  <si>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</si>
  <si>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</si>
  <si>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</si>
  <si>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</si>
  <si>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</si>
  <si>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</si>
  <si>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</si>
  <si>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</si>
  <si>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</si>
  <si>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</si>
  <si>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</si>
  <si>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</si>
  <si>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</si>
  <si>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</si>
  <si>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</si>
  <si>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</si>
  <si>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</si>
  <si>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</si>
  <si>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</si>
  <si>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</si>
  <si>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</si>
  <si>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</si>
  <si>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</si>
  <si>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</si>
  <si>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</si>
  <si>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</si>
  <si>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</si>
  <si>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</si>
  <si>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</si>
  <si>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</si>
  <si>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</si>
  <si>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</si>
  <si>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</si>
  <si>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</si>
  <si>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</si>
  <si>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</si>
  <si>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</si>
  <si>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</si>
  <si>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</si>
  <si>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</si>
  <si>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</si>
  <si>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</si>
  <si>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</si>
  <si>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</si>
  <si>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</si>
  <si>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</si>
  <si>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</si>
  <si>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</si>
  <si>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</si>
  <si>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</si>
  <si>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</si>
  <si>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</si>
  <si>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</si>
  <si>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</si>
  <si>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</si>
  <si>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</si>
  <si>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</si>
  <si>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</si>
  <si>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</si>
  <si>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</si>
  <si>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</si>
  <si>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</si>
  <si>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</si>
  <si>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</si>
  <si>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</si>
  <si>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</si>
  <si>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</si>
  <si>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</si>
  <si>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</si>
  <si>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</si>
  <si>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</si>
  <si>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</si>
  <si>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</si>
  <si>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</si>
  <si>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</si>
  <si>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</si>
  <si>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</si>
  <si>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</si>
  <si>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</si>
  <si>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</si>
  <si>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</si>
  <si>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</si>
  <si>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</si>
  <si>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</si>
  <si>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</si>
  <si>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</si>
  <si>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</si>
  <si>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</si>
  <si>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</si>
  <si>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</si>
  <si>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</si>
  <si>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</si>
  <si>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</si>
  <si>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</si>
  <si>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</si>
  <si>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</si>
  <si>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</si>
  <si>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</si>
  <si>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</si>
  <si>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</si>
  <si>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</si>
  <si>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</si>
  <si>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</si>
  <si>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</si>
  <si>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</si>
  <si>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</si>
  <si>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</si>
  <si>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</si>
  <si>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</si>
  <si>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</si>
  <si>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</si>
  <si>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</si>
  <si>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</si>
  <si>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</si>
  <si>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</si>
  <si>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</si>
  <si>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</si>
  <si>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</si>
  <si>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</si>
  <si>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</si>
  <si>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</si>
  <si>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</si>
  <si>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</si>
  <si>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</si>
  <si>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</si>
  <si>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</si>
  <si>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</si>
  <si>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</si>
  <si>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</si>
  <si>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</si>
  <si>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</si>
  <si>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</si>
  <si>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</si>
  <si>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</si>
  <si>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</si>
  <si>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</si>
  <si>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</si>
  <si>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</si>
  <si>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</si>
  <si>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</si>
  <si>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</si>
  <si>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</si>
  <si>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</si>
  <si>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</si>
  <si>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</si>
  <si>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</si>
  <si>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</si>
  <si>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</si>
  <si>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</si>
  <si>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</si>
  <si>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</si>
  <si>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</si>
  <si>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</si>
  <si>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</si>
  <si>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</si>
  <si>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</si>
  <si>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</si>
  <si>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</si>
  <si>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</si>
  <si>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</si>
  <si>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</si>
  <si>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</si>
  <si>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</si>
  <si>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</si>
  <si>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</si>
  <si>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</si>
  <si>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</si>
  <si>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</si>
  <si>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</si>
  <si>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</si>
  <si>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</si>
  <si>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</si>
  <si>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</si>
  <si>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</si>
  <si>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</si>
  <si>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</si>
  <si>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</si>
  <si>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</si>
  <si>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</si>
  <si>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</si>
  <si>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</si>
  <si>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</si>
  <si>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</si>
  <si>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</si>
  <si>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</si>
  <si>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</si>
  <si>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</si>
  <si>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</si>
  <si>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</si>
  <si>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</si>
  <si>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</si>
  <si>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</si>
  <si>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</si>
  <si>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</si>
  <si>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</si>
  <si>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</si>
  <si>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</si>
  <si>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</si>
  <si>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</si>
  <si>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</si>
  <si>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</si>
  <si>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</si>
  <si>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</si>
  <si>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</si>
  <si>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</si>
  <si>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</si>
  <si>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</si>
  <si>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</si>
  <si>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</si>
  <si>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</si>
  <si>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</si>
  <si>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</si>
  <si>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</si>
  <si>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</si>
  <si>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</si>
  <si>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</si>
  <si>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</si>
  <si>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</si>
  <si>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</si>
  <si>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</si>
  <si>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</si>
  <si>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</si>
  <si>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</si>
  <si>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</si>
  <si>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</si>
  <si>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</si>
  <si>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</si>
  <si>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</si>
  <si>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</si>
  <si>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</si>
  <si>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</si>
  <si>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</si>
  <si>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</si>
  <si>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</si>
  <si>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</si>
  <si>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</si>
  <si>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</si>
  <si>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</si>
  <si>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</si>
  <si>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</si>
  <si>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</si>
  <si>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</si>
  <si>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</si>
  <si>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</si>
  <si>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</si>
  <si>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</si>
  <si>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</si>
  <si>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</si>
  <si>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</si>
  <si>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</si>
  <si>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</si>
  <si>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</si>
  <si>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</si>
  <si>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</si>
  <si>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</si>
  <si>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</si>
  <si>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</si>
  <si>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</si>
  <si>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</si>
  <si>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</si>
  <si>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</si>
  <si>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</si>
  <si>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</si>
  <si>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</si>
  <si>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</si>
  <si>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</si>
  <si>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</si>
  <si>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</si>
  <si>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</si>
  <si>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</si>
  <si>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</si>
  <si>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</si>
  <si>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</si>
  <si>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</si>
  <si>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</si>
  <si>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</si>
  <si>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</si>
  <si>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</si>
  <si>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</si>
  <si>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</si>
  <si>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</si>
  <si>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</si>
  <si>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</si>
  <si>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</si>
  <si>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</si>
  <si>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</si>
  <si>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</si>
  <si>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</si>
  <si>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</si>
  <si>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</si>
  <si>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</si>
  <si>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</si>
  <si>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</si>
  <si>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</si>
  <si>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</si>
  <si>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</si>
  <si>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</si>
  <si>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</si>
  <si>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</si>
  <si>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</si>
  <si>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</si>
  <si>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</si>
  <si>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</si>
  <si>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</si>
  <si>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</si>
  <si>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</si>
  <si>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</si>
  <si>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</si>
  <si>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</si>
  <si>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</si>
  <si>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</si>
  <si>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</si>
  <si>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</si>
  <si>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</si>
  <si>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</si>
  <si>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</si>
  <si>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</si>
  <si>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</si>
  <si>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</si>
  <si>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</si>
  <si>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</si>
  <si>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</si>
  <si>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</si>
  <si>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</si>
  <si>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</si>
  <si>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</si>
  <si>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</si>
  <si>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</si>
  <si>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</si>
  <si>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</si>
  <si>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</si>
  <si>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</si>
  <si>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</si>
  <si>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</si>
  <si>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</si>
  <si>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</si>
  <si>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</si>
  <si>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</si>
  <si>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</si>
  <si>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</si>
  <si>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</si>
  <si>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</si>
  <si>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</si>
  <si>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</si>
  <si>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</si>
  <si>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</si>
  <si>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</si>
  <si>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</si>
  <si>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</si>
  <si>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</si>
  <si>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</si>
  <si>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</si>
  <si>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</si>
  <si>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</si>
  <si>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</si>
  <si>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</si>
  <si>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</si>
  <si>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</si>
  <si>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</si>
  <si>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</si>
  <si>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</si>
  <si>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</si>
  <si>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</si>
  <si>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</si>
  <si>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</si>
  <si>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</si>
  <si>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</si>
  <si>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</si>
  <si>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</si>
  <si>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</si>
  <si>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</si>
  <si>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</si>
  <si>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</si>
  <si>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</si>
  <si>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</si>
  <si>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</si>
  <si>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</si>
  <si>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</si>
  <si>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</si>
  <si>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</si>
  <si>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</si>
  <si>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</si>
  <si>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</si>
  <si>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</si>
  <si>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</si>
  <si>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</si>
  <si>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</si>
  <si>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</si>
  <si>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</si>
  <si>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</si>
  <si>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</si>
  <si>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</si>
  <si>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</si>
  <si>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</si>
  <si>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</si>
  <si>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</si>
  <si>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</si>
  <si>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</si>
  <si>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</si>
  <si>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</si>
  <si>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</si>
  <si>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</si>
  <si>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</si>
  <si>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</si>
  <si>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</si>
  <si>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</si>
  <si>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</si>
  <si>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</si>
  <si>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</si>
  <si>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</si>
  <si>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</si>
  <si>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</si>
  <si>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</si>
  <si>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</si>
  <si>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</si>
  <si>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</si>
  <si>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</si>
  <si>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</si>
  <si>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</si>
  <si>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</si>
  <si>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</si>
  <si>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</si>
  <si>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</si>
  <si>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</si>
  <si>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</si>
  <si>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</si>
  <si>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</si>
  <si>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</si>
  <si>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</si>
  <si>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</si>
  <si>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</si>
  <si>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</si>
  <si>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</si>
  <si>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</si>
  <si>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</si>
  <si>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</si>
  <si>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</si>
  <si>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</si>
  <si>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</si>
  <si>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</si>
  <si>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</si>
  <si>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</si>
  <si>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</si>
  <si>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</si>
  <si>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</si>
  <si>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</si>
  <si>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</si>
  <si>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</si>
  <si>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</si>
  <si>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</si>
  <si>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</si>
  <si>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</si>
  <si>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</si>
  <si>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</si>
  <si>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</si>
  <si>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</si>
  <si>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</si>
  <si>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</si>
  <si>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</si>
  <si>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</si>
  <si>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</si>
  <si>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</si>
  <si>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</si>
  <si>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</si>
  <si>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</si>
  <si>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</si>
  <si>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</si>
  <si>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</si>
  <si>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</si>
  <si>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</si>
  <si>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</si>
  <si>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</si>
  <si>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</si>
  <si>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</si>
  <si>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</si>
  <si>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</si>
  <si>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</si>
  <si>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</si>
  <si>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</si>
  <si>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</si>
  <si>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</si>
  <si>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</si>
  <si>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</si>
  <si>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</si>
  <si>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</si>
  <si>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</si>
  <si>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</si>
  <si>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</si>
  <si>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</si>
  <si>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</si>
  <si>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</si>
  <si>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</si>
  <si>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</si>
  <si>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</si>
  <si>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</si>
  <si>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</si>
  <si>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</si>
  <si>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</si>
  <si>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</si>
  <si>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</si>
  <si>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</si>
  <si>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</si>
  <si>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</si>
  <si>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</si>
  <si>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</si>
  <si>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</si>
  <si>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</si>
  <si>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</si>
  <si>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</si>
  <si>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</si>
  <si>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</si>
  <si>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</si>
  <si>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</si>
  <si>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</si>
  <si>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</si>
  <si>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</si>
  <si>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</si>
  <si>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</si>
  <si>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</si>
  <si>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</si>
  <si>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</si>
  <si>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</si>
  <si>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</si>
  <si>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</si>
  <si>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</si>
  <si>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</si>
  <si>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</si>
  <si>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</si>
  <si>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</si>
  <si>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</si>
  <si>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</si>
  <si>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</si>
  <si>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</si>
  <si>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</si>
  <si>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</si>
  <si>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</si>
  <si>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</si>
  <si>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</si>
  <si>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</si>
  <si>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</si>
  <si>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</si>
  <si>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</si>
  <si>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</si>
  <si>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</si>
  <si>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</si>
  <si>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</si>
  <si>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</si>
  <si>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</si>
  <si>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</si>
  <si>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</si>
  <si>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</si>
  <si>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</si>
  <si>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</si>
  <si>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</si>
  <si>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</si>
  <si>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</si>
  <si>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</si>
  <si>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</si>
  <si>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</si>
  <si>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</si>
  <si>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</si>
  <si>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</si>
  <si>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</si>
  <si>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</si>
  <si>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</si>
  <si>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</si>
  <si>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</si>
  <si>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</si>
  <si>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</si>
  <si>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</si>
  <si>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</si>
  <si>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</si>
  <si>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</si>
  <si>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</si>
  <si>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</si>
  <si>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</si>
  <si>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</si>
  <si>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</si>
  <si>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</si>
  <si>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</si>
  <si>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</si>
  <si>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</si>
  <si>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</si>
  <si>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</si>
  <si>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</si>
  <si>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</si>
  <si>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</si>
  <si>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</si>
  <si>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</si>
  <si>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</si>
  <si>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</si>
  <si>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</si>
  <si>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</si>
  <si>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</si>
  <si>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</si>
  <si>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</si>
  <si>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</si>
  <si>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</si>
  <si>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</si>
  <si>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</si>
  <si>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</si>
  <si>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</si>
  <si>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</si>
  <si>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</si>
  <si>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</si>
  <si>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</si>
  <si>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</si>
  <si>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</si>
  <si>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</si>
  <si>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</si>
  <si>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</si>
  <si>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</si>
  <si>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</si>
  <si>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</si>
  <si>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</si>
  <si>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</si>
  <si>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</si>
  <si>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</si>
  <si>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</si>
  <si>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</si>
  <si>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</si>
  <si>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</si>
  <si>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</si>
  <si>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</si>
  <si>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</si>
  <si>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</si>
  <si>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</si>
  <si>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</si>
  <si>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</si>
  <si>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</si>
  <si>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</si>
  <si>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</si>
  <si>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</si>
  <si>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</si>
  <si>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</si>
  <si>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</si>
  <si>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</si>
  <si>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</si>
  <si>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</si>
  <si>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</si>
  <si>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</si>
  <si>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</si>
  <si>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</si>
  <si>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</si>
  <si>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</si>
  <si>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</si>
  <si>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</si>
  <si>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</si>
  <si>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</si>
  <si>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</si>
  <si>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</si>
  <si>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</si>
  <si>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</si>
  <si>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</si>
  <si>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</si>
  <si>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</si>
  <si>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</si>
  <si>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</si>
  <si>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</si>
  <si>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</si>
  <si>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</si>
  <si>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</si>
  <si>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</si>
  <si>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</si>
  <si>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</si>
  <si>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</si>
  <si>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</si>
  <si>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</si>
  <si>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</si>
  <si>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</si>
  <si>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</si>
  <si>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</si>
  <si>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</si>
  <si>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</si>
  <si>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</si>
  <si>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</si>
  <si>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</si>
  <si>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</si>
  <si>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</si>
  <si>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</si>
  <si>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</si>
  <si>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</si>
  <si>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</si>
  <si>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</si>
  <si>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</si>
  <si>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</si>
  <si>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</si>
  <si>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</si>
  <si>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</si>
  <si>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</si>
  <si>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</si>
  <si>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</si>
  <si>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</si>
  <si>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</si>
  <si>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</si>
  <si>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</si>
  <si>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</si>
  <si>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</si>
  <si>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</si>
  <si>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</si>
  <si>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</si>
  <si>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</si>
  <si>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</si>
  <si>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</si>
  <si>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</si>
  <si>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</si>
  <si>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</si>
  <si>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</si>
  <si>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</si>
  <si>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</si>
  <si>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</si>
  <si>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</si>
  <si>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</si>
  <si>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</si>
  <si>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</si>
  <si>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</si>
  <si>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</si>
  <si>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</si>
  <si>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</si>
  <si>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</si>
  <si>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</si>
  <si>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</si>
  <si>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</si>
  <si>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</si>
  <si>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</si>
  <si>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</si>
  <si>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</si>
  <si>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</si>
  <si>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</si>
  <si>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</si>
  <si>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</si>
  <si>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</si>
  <si>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</si>
  <si>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</si>
  <si>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</si>
  <si>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</si>
  <si>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</si>
  <si>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</si>
  <si>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</si>
  <si>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</si>
  <si>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</si>
  <si>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</si>
  <si>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</si>
  <si>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</si>
  <si>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</si>
  <si>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</si>
  <si>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</si>
  <si>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</si>
  <si>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</si>
  <si>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</si>
  <si>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</si>
  <si>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</si>
  <si>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</si>
  <si>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</si>
  <si>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</si>
  <si>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</si>
  <si>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</si>
  <si>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</si>
  <si>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</si>
  <si>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</si>
  <si>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</si>
  <si>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</si>
  <si>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</si>
  <si>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</si>
  <si>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</si>
  <si>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</si>
  <si>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</si>
  <si>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</si>
  <si>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</si>
  <si>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</si>
  <si>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</si>
  <si>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</si>
  <si>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</si>
  <si>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</si>
  <si>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</si>
  <si>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</si>
  <si>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</si>
  <si>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</si>
  <si>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</si>
  <si>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</si>
  <si>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</si>
  <si>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</si>
  <si>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</si>
  <si>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</si>
  <si>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</si>
  <si>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</si>
  <si>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</si>
  <si>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</si>
  <si>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</si>
  <si>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</si>
  <si>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</si>
  <si>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</si>
  <si>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</si>
  <si>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</si>
  <si>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</si>
  <si>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</si>
  <si>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</si>
  <si>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</si>
  <si>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</si>
  <si>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</si>
  <si>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</si>
  <si>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</si>
  <si>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</si>
  <si>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</si>
  <si>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</si>
  <si>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</si>
  <si>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</si>
  <si>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</si>
  <si>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</si>
  <si>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</si>
  <si>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</si>
  <si>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</si>
  <si>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</si>
  <si>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</si>
  <si>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</si>
  <si>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</si>
  <si>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</si>
  <si>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</si>
  <si>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</si>
  <si>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</si>
  <si>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</si>
  <si>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</si>
  <si>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</si>
  <si>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</si>
  <si>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</si>
  <si>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</si>
  <si>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</si>
  <si>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</si>
  <si>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</si>
  <si>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</si>
  <si>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</si>
  <si>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</si>
  <si>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</si>
  <si>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</si>
  <si>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</si>
  <si>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</si>
  <si>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</si>
  <si>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</si>
  <si>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</si>
  <si>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</si>
  <si>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</si>
  <si>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</si>
  <si>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</si>
  <si>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</si>
  <si>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</si>
  <si>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</si>
  <si>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</si>
  <si>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</si>
  <si>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</si>
  <si>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</si>
  <si>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</si>
  <si>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</si>
  <si>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</si>
  <si>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</si>
  <si>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</si>
  <si>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</si>
  <si>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</si>
  <si>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</si>
  <si>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</si>
  <si>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</si>
  <si>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</si>
  <si>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</si>
  <si>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</si>
  <si>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</si>
  <si>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</si>
  <si>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</si>
  <si>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</si>
  <si>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</si>
  <si>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</si>
  <si>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</si>
  <si>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</si>
  <si>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</si>
  <si>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</si>
  <si>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</si>
  <si>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</si>
  <si>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</si>
  <si>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</si>
  <si>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</si>
  <si>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</si>
  <si>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</si>
  <si>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</si>
  <si>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</si>
  <si>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</si>
  <si>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</si>
  <si>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</si>
  <si>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</si>
  <si>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</si>
  <si>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</si>
  <si>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</si>
  <si>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</si>
  <si>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</si>
  <si>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</si>
  <si>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</si>
  <si>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</si>
  <si>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</si>
  <si>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</si>
  <si>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</si>
  <si>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</si>
  <si>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</si>
  <si>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</si>
  <si>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</si>
  <si>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</si>
  <si>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</si>
  <si>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</si>
  <si>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</si>
  <si>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</si>
  <si>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</si>
  <si>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</si>
  <si>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</si>
  <si>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</si>
  <si>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</si>
  <si>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</si>
  <si>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</si>
  <si>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</si>
  <si>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</si>
  <si>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</si>
  <si>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</si>
  <si>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</si>
  <si>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</si>
  <si>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</si>
  <si>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</si>
  <si>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</si>
  <si>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</si>
  <si>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</si>
  <si>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</si>
  <si>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</si>
  <si>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</si>
  <si>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</si>
  <si>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</si>
  <si>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</si>
  <si>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</si>
  <si>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</si>
  <si>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</si>
  <si>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</si>
  <si>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</si>
  <si>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</si>
  <si>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</si>
  <si>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</si>
  <si>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</si>
  <si>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</si>
  <si>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</si>
  <si>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</si>
  <si>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</si>
  <si>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</si>
  <si>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</si>
  <si>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</si>
  <si>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</si>
  <si>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</si>
  <si>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</si>
  <si>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</si>
  <si>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</si>
  <si>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</si>
  <si>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</si>
  <si>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</si>
  <si>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</si>
  <si>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</si>
  <si>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</si>
  <si>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</si>
  <si>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</si>
  <si>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</si>
  <si>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</si>
  <si>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</si>
  <si>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</si>
  <si>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</si>
  <si>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</si>
  <si>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</si>
  <si>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</si>
  <si>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</si>
  <si>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</si>
  <si>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</si>
  <si>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</si>
  <si>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</si>
  <si>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</si>
  <si>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</si>
  <si>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</si>
  <si>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</si>
  <si>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</si>
  <si>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</si>
  <si>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</si>
  <si>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</si>
  <si>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</si>
  <si>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</si>
  <si>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</si>
  <si>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</si>
  <si>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</si>
  <si>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</si>
  <si>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</si>
  <si>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</si>
  <si>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</si>
  <si>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</si>
  <si>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</si>
  <si>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</si>
  <si>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</si>
  <si>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</si>
  <si>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</si>
  <si>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</si>
  <si>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</si>
  <si>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</si>
  <si>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</si>
  <si>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</si>
  <si>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</si>
  <si>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</si>
  <si>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</si>
  <si>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</si>
  <si>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</si>
  <si>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</si>
  <si>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</si>
  <si>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</si>
  <si>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</si>
  <si>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</si>
  <si>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</si>
  <si>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</si>
  <si>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</si>
  <si>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</si>
  <si>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</si>
  <si>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</si>
  <si>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</si>
  <si>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</si>
  <si>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</si>
  <si>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</si>
  <si>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</si>
  <si>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</si>
  <si>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</si>
  <si>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</si>
  <si>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</si>
  <si>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</si>
  <si>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</si>
  <si>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</si>
  <si>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</si>
  <si>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</si>
  <si>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</si>
  <si>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</si>
  <si>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</si>
  <si>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</si>
  <si>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</si>
  <si>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</si>
  <si>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</si>
  <si>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</si>
  <si>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</si>
  <si>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</si>
  <si>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</si>
  <si>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</si>
  <si>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</si>
  <si>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</si>
  <si>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</si>
  <si>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</si>
  <si>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</si>
  <si>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</si>
  <si>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</si>
  <si>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</si>
  <si>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</si>
  <si>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</si>
  <si>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</si>
  <si>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</si>
  <si>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</si>
  <si>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</si>
  <si>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</si>
  <si>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</si>
  <si>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</si>
  <si>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</si>
  <si>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</si>
  <si>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</si>
  <si>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</si>
  <si>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</si>
  <si>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</si>
  <si>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</si>
  <si>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</si>
  <si>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</si>
  <si>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</si>
  <si>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</si>
  <si>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</si>
  <si>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</si>
  <si>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</si>
  <si>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</si>
  <si>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</si>
  <si>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</si>
  <si>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</si>
  <si>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</si>
  <si>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</si>
  <si>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</si>
  <si>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</si>
  <si>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</si>
  <si>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</si>
  <si>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</si>
  <si>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</si>
  <si>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</si>
  <si>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</si>
  <si>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</si>
  <si>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</si>
  <si>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</si>
  <si>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</si>
  <si>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</si>
  <si>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</si>
  <si>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</si>
  <si>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</si>
  <si>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</si>
  <si>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</si>
  <si>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</si>
  <si>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</si>
  <si>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</si>
  <si>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</si>
  <si>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</si>
  <si>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</si>
  <si>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</si>
  <si>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</si>
  <si>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</si>
  <si>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</si>
  <si>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</si>
  <si>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</si>
  <si>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</si>
  <si>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</si>
  <si>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</si>
  <si>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</si>
  <si>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</si>
  <si>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</si>
  <si>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</si>
  <si>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</si>
  <si>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</si>
  <si>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</si>
  <si>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</si>
  <si>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</si>
  <si>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</si>
  <si>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</si>
  <si>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</si>
  <si>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</si>
  <si>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</si>
  <si>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</si>
  <si>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</si>
  <si>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</si>
  <si>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</si>
  <si>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</si>
  <si>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</si>
  <si>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</si>
  <si>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</si>
  <si>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</si>
  <si>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</si>
  <si>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</si>
  <si>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</si>
  <si>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</si>
  <si>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</si>
  <si>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</si>
  <si>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</si>
  <si>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</si>
  <si>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</si>
  <si>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</si>
  <si>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</si>
  <si>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</si>
  <si>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</si>
  <si>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</si>
  <si>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</si>
  <si>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</si>
  <si>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</si>
  <si>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</si>
  <si>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</si>
  <si>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</si>
  <si>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</si>
  <si>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</si>
  <si>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</si>
  <si>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</si>
  <si>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</si>
  <si>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</si>
  <si>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</si>
  <si>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</si>
  <si>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</si>
  <si>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</si>
  <si>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</si>
  <si>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</si>
  <si>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</si>
  <si>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</si>
  <si>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</si>
  <si>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</si>
  <si>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</si>
  <si>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</si>
  <si>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</si>
  <si>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</si>
  <si>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</si>
  <si>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</si>
  <si>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</si>
  <si>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</si>
  <si>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</si>
  <si>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</si>
  <si>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</si>
  <si>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</si>
  <si>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</si>
  <si>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</si>
  <si>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</si>
  <si>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</si>
  <si>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</si>
  <si>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</si>
  <si>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</si>
  <si>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</si>
  <si>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</si>
  <si>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</si>
  <si>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</si>
  <si>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</si>
  <si>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</si>
  <si>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</si>
  <si>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</si>
  <si>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</si>
  <si>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</si>
  <si>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</si>
  <si>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</si>
  <si>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</si>
  <si>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</si>
  <si>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</si>
  <si>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</si>
  <si>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</si>
  <si>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</si>
  <si>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</si>
  <si>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</si>
  <si>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</si>
  <si>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</si>
  <si>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</si>
  <si>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</si>
  <si>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</si>
  <si>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</si>
  <si>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</si>
  <si>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</si>
  <si>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</si>
  <si>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</si>
  <si>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</si>
  <si>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</si>
  <si>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</si>
  <si>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</si>
  <si>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</si>
  <si>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</si>
  <si>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</si>
  <si>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</si>
  <si>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</si>
  <si>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</si>
  <si>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</si>
  <si>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</si>
  <si>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</si>
  <si>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</si>
  <si>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</si>
  <si>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</si>
  <si>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</si>
  <si>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</si>
  <si>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</si>
  <si>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</si>
  <si>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</si>
  <si>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</si>
  <si>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</si>
  <si>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</si>
  <si>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</si>
  <si>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</si>
  <si>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</si>
  <si>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</si>
  <si>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</si>
  <si>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</si>
  <si>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</si>
  <si>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</si>
  <si>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</si>
  <si>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</si>
  <si>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</si>
  <si>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</si>
  <si>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</si>
  <si>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</si>
  <si>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</si>
  <si>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</si>
  <si>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</si>
  <si>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</si>
  <si>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</si>
  <si>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</si>
  <si>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</si>
  <si>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</si>
  <si>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</si>
  <si>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</si>
  <si>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</si>
  <si>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</si>
  <si>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</si>
  <si>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</si>
  <si>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</si>
  <si>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</si>
  <si>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</si>
  <si>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</si>
  <si>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</si>
  <si>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</si>
  <si>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</si>
  <si>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</si>
  <si>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</si>
  <si>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</si>
  <si>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</si>
  <si>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</si>
  <si>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</si>
  <si>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</si>
  <si>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</si>
  <si>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</si>
  <si>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</si>
  <si>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</si>
  <si>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</si>
  <si>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</si>
  <si>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</si>
  <si>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</si>
  <si>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</si>
  <si>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</si>
  <si>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</si>
  <si>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</si>
  <si>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</si>
  <si>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</si>
  <si>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</si>
  <si>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</si>
  <si>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</si>
  <si>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</si>
  <si>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</si>
  <si>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</si>
  <si>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</si>
  <si>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</si>
  <si>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</si>
  <si>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</si>
  <si>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</si>
  <si>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</si>
  <si>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</si>
  <si>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</si>
  <si>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</si>
  <si>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</si>
  <si>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</si>
  <si>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</si>
  <si>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</si>
  <si>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</si>
  <si>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</si>
  <si>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</si>
  <si>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</si>
  <si>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</si>
  <si>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</si>
  <si>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</si>
  <si>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</si>
  <si>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</si>
  <si>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</si>
  <si>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</si>
  <si>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</si>
  <si>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</si>
  <si>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</si>
  <si>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</si>
  <si>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</si>
  <si>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</si>
  <si>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</si>
  <si>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</si>
  <si>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</si>
  <si>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</si>
  <si>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</si>
  <si>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</si>
  <si>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</si>
  <si>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</si>
  <si>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</si>
  <si>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</si>
  <si>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</si>
  <si>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</si>
  <si>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</si>
  <si>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</si>
  <si>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</si>
  <si>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</si>
  <si>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</si>
  <si>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</si>
  <si>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</si>
  <si>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</si>
  <si>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</si>
  <si>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</si>
  <si>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</si>
  <si>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</si>
  <si>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</si>
  <si>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</si>
  <si>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</si>
  <si>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</si>
  <si>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</si>
  <si>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</si>
  <si>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</si>
  <si>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</si>
  <si>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</si>
  <si>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</si>
  <si>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</si>
  <si>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</si>
  <si>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</si>
  <si>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</si>
  <si>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</si>
  <si>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</si>
  <si>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</si>
  <si>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</si>
  <si>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</si>
  <si>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</si>
  <si>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</si>
  <si>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</si>
  <si>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</si>
  <si>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</si>
  <si>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</si>
  <si>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</si>
  <si>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</si>
  <si>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</si>
  <si>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</si>
  <si>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</si>
  <si>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</si>
  <si>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</si>
  <si>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</si>
  <si>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</si>
  <si>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</si>
  <si>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</si>
  <si>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</si>
  <si>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</si>
  <si>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</si>
  <si>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</si>
  <si>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</si>
  <si>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</si>
  <si>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</si>
  <si>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</si>
  <si>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</si>
  <si>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</si>
  <si>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</si>
  <si>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</si>
  <si>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</si>
  <si>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</si>
  <si>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</si>
  <si>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</si>
  <si>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</si>
  <si>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</si>
  <si>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</si>
  <si>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</si>
  <si>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</si>
  <si>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</si>
  <si>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</si>
  <si>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</si>
  <si>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</si>
  <si>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</si>
  <si>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</si>
  <si>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</si>
  <si>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</si>
  <si>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</si>
  <si>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</si>
  <si>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</si>
  <si>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</si>
  <si>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</si>
  <si>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</si>
  <si>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</si>
  <si>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</si>
  <si>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</si>
  <si>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</si>
  <si>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</si>
  <si>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</si>
  <si>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</si>
  <si>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</si>
  <si>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</si>
  <si>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</si>
  <si>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</si>
  <si>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</si>
  <si>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</si>
  <si>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</si>
  <si>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</si>
  <si>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</si>
  <si>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</si>
  <si>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</si>
  <si>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</si>
  <si>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</si>
  <si>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</si>
  <si>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</si>
  <si>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</si>
  <si>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</si>
  <si>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</si>
  <si>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</si>
  <si>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</si>
  <si>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</si>
  <si>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</si>
  <si>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</si>
  <si>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</si>
  <si>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</si>
  <si>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</si>
  <si>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</si>
  <si>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</si>
  <si>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</si>
  <si>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</si>
  <si>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</si>
  <si>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</si>
  <si>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</si>
  <si>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</si>
  <si>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</si>
  <si>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</si>
  <si>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</si>
  <si>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</si>
  <si>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</si>
  <si>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</si>
  <si>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</si>
  <si>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</si>
  <si>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</si>
  <si>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</si>
  <si>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</si>
  <si>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</si>
  <si>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</si>
  <si>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</si>
  <si>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</si>
  <si>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</si>
  <si>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</si>
  <si>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</si>
  <si>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</si>
  <si>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</si>
  <si>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</si>
  <si>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</si>
  <si>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</si>
  <si>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</si>
  <si>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</si>
  <si>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</si>
  <si>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</si>
  <si>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</si>
  <si>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</si>
  <si>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</si>
  <si>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</si>
  <si>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</si>
  <si>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</si>
  <si>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</si>
  <si>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</si>
  <si>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</si>
  <si>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</si>
  <si>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</si>
  <si>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</si>
  <si>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</si>
  <si>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</si>
  <si>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</si>
  <si>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</si>
  <si>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</si>
  <si>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</si>
  <si>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</si>
  <si>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</si>
  <si>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</si>
  <si>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</si>
  <si>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</si>
  <si>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</si>
  <si>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</si>
  <si>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</si>
  <si>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</si>
  <si>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</si>
  <si>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</si>
  <si>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</si>
  <si>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</si>
  <si>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</si>
  <si>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</si>
  <si>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</si>
  <si>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</si>
  <si>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</si>
  <si>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</si>
  <si>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</si>
  <si>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</si>
  <si>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</si>
  <si>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</si>
  <si>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</si>
  <si>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</si>
  <si>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</si>
  <si>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</si>
  <si>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</si>
  <si>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</si>
  <si>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</si>
  <si>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</si>
  <si>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</si>
  <si>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</si>
  <si>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</si>
  <si>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</si>
  <si>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</si>
  <si>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</si>
  <si>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</si>
  <si>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</si>
  <si>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</si>
  <si>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</si>
  <si>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</si>
  <si>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</si>
  <si>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</si>
  <si>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</si>
  <si>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</si>
  <si>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</si>
  <si>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</si>
  <si>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</si>
  <si>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</si>
  <si>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</si>
  <si>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</si>
  <si>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</si>
  <si>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</si>
  <si>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</si>
  <si>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</si>
  <si>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</si>
  <si>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</si>
  <si>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</si>
  <si>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</si>
  <si>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</si>
  <si>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</si>
  <si>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</si>
  <si>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</si>
  <si>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</si>
  <si>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</si>
  <si>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</si>
  <si>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</si>
  <si>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</si>
  <si>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</si>
  <si>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</si>
  <si>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</si>
  <si>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</si>
  <si>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</si>
  <si>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</si>
  <si>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</si>
  <si>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</si>
  <si>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</si>
  <si>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</si>
  <si>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</si>
  <si>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</si>
  <si>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</si>
  <si>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</si>
  <si>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</si>
  <si>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</si>
  <si>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</si>
  <si>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</si>
  <si>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</si>
  <si>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</si>
  <si>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</si>
  <si>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</si>
  <si>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</si>
  <si>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</si>
  <si>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</si>
  <si>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</si>
  <si>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</si>
  <si>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</si>
  <si>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</si>
  <si>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</si>
  <si>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</si>
  <si>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</si>
  <si>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</si>
  <si>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</si>
  <si>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</si>
  <si>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</si>
  <si>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</si>
  <si>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</si>
  <si>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</si>
  <si>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</si>
  <si>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</si>
  <si>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</si>
  <si>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</si>
  <si>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</si>
  <si>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</si>
  <si>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</si>
  <si>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</si>
  <si>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</si>
  <si>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</si>
  <si>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</si>
  <si>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</si>
  <si>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</si>
  <si>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</si>
  <si>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</si>
  <si>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</si>
  <si>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</si>
  <si>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</si>
  <si>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</si>
  <si>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</si>
  <si>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</si>
  <si>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</si>
  <si>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</si>
  <si>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</si>
  <si>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</si>
  <si>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</si>
  <si>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</si>
  <si>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</si>
  <si>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</si>
  <si>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</si>
  <si>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</si>
  <si>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</si>
  <si>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</si>
  <si>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</si>
  <si>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</si>
  <si>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</si>
  <si>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</si>
  <si>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</si>
  <si>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</si>
  <si>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</si>
  <si>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</si>
  <si>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</si>
  <si>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</si>
  <si>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</si>
  <si>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</si>
  <si>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</si>
  <si>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</si>
  <si>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</si>
  <si>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</si>
  <si>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</si>
  <si>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</si>
  <si>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</si>
  <si>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</si>
  <si>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</si>
  <si>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</si>
  <si>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</si>
  <si>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</si>
  <si>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</si>
  <si>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</si>
  <si>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</si>
  <si>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</si>
  <si>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</si>
  <si>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</si>
  <si>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</si>
  <si>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</si>
  <si>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</si>
  <si>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</si>
  <si>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</si>
  <si>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</si>
  <si>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</si>
  <si>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</si>
  <si>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</si>
  <si>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</si>
  <si>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</si>
  <si>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</si>
  <si>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</si>
  <si>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</si>
  <si>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</si>
  <si>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</si>
  <si>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</si>
  <si>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</si>
  <si>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</si>
  <si>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</si>
  <si>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</si>
  <si>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</si>
  <si>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</si>
  <si>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</si>
  <si>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</si>
  <si>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</si>
  <si>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</si>
  <si>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</si>
  <si>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</si>
  <si>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</si>
  <si>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</si>
  <si>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</si>
  <si>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</si>
  <si>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</si>
  <si>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</si>
  <si>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</si>
  <si>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</si>
  <si>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</si>
  <si>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</si>
  <si>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</si>
  <si>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</si>
  <si>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</si>
  <si>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</si>
  <si>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</si>
  <si>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</si>
  <si>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</si>
  <si>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</si>
  <si>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</si>
  <si>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</si>
  <si>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</si>
  <si>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</si>
  <si>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</si>
  <si>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</si>
  <si>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</si>
  <si>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</si>
  <si>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</si>
  <si>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</si>
  <si>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</si>
  <si>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</si>
  <si>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</si>
  <si>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</si>
  <si>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</si>
  <si>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</si>
  <si>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</si>
  <si>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</si>
  <si>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</si>
  <si>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</si>
  <si>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</si>
  <si>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</si>
  <si>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</si>
  <si>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</si>
  <si>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</si>
  <si>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</si>
  <si>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</si>
  <si>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</si>
  <si>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</si>
  <si>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</si>
  <si>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</si>
  <si>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</si>
  <si>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</si>
  <si>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</si>
  <si>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</si>
  <si>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</si>
  <si>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</si>
  <si>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</si>
  <si>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</si>
  <si>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</si>
  <si>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</si>
  <si>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</si>
  <si>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</si>
  <si>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</si>
  <si>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</si>
  <si>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</si>
  <si>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</si>
  <si>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</si>
  <si>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</si>
  <si>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</si>
  <si>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</si>
  <si>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</si>
  <si>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</si>
  <si>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</si>
  <si>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</si>
  <si>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</si>
  <si>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</si>
  <si>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</si>
  <si>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</si>
  <si>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</si>
  <si>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</si>
  <si>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</si>
  <si>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</si>
  <si>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</si>
  <si>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</si>
  <si>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</si>
  <si>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</si>
  <si>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</si>
  <si>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</si>
  <si>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</si>
  <si>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</si>
  <si>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</si>
  <si>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</si>
  <si>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</si>
  <si>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</si>
  <si>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</si>
  <si>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</si>
  <si>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</si>
  <si>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</si>
  <si>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</si>
  <si>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</si>
  <si>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</si>
  <si>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</si>
  <si>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</si>
  <si>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</si>
  <si>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</si>
  <si>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</si>
  <si>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</si>
  <si>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</si>
  <si>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</si>
  <si>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</si>
  <si>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</si>
  <si>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</si>
  <si>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</si>
  <si>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</si>
  <si>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</si>
  <si>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</si>
  <si>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</si>
  <si>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</si>
  <si>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</si>
  <si>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</si>
  <si>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</si>
  <si>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</si>
  <si>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</si>
  <si>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</si>
  <si>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</si>
  <si>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</si>
  <si>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</si>
  <si>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</si>
  <si>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</si>
  <si>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</si>
  <si>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</si>
  <si>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</si>
  <si>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</si>
  <si>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</si>
  <si>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</si>
  <si>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</si>
  <si>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</si>
  <si>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</si>
  <si>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</si>
  <si>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</si>
  <si>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</si>
  <si>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</si>
  <si>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</si>
  <si>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</si>
  <si>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</si>
  <si>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</si>
  <si>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</si>
  <si>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</si>
  <si>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</si>
  <si>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</si>
  <si>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</si>
  <si>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</si>
  <si>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</si>
  <si>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</si>
  <si>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</si>
  <si>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</si>
  <si>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</si>
  <si>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</si>
  <si>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</si>
  <si>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</si>
  <si>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</si>
  <si>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</si>
  <si>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</si>
  <si>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</si>
  <si>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</si>
  <si>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</si>
  <si>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</si>
  <si>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</si>
  <si>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</si>
  <si>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</si>
  <si>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</si>
  <si>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</si>
  <si>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</si>
  <si>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</si>
  <si>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</si>
  <si>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</si>
  <si>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</si>
  <si>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</si>
  <si>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</si>
  <si>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</si>
  <si>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</si>
  <si>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</si>
  <si>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</si>
  <si>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</si>
  <si>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</si>
  <si>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</si>
  <si>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</si>
  <si>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</si>
  <si>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</si>
  <si>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</si>
  <si>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</si>
  <si>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</si>
  <si>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</si>
  <si>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</si>
  <si>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</si>
  <si>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</si>
  <si>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</si>
  <si>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</si>
  <si>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</si>
  <si>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</si>
  <si>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</si>
  <si>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</si>
  <si>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</si>
  <si>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</si>
  <si>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</si>
  <si>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</si>
  <si>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</si>
  <si>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</si>
  <si>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</si>
  <si>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</si>
  <si>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</si>
  <si>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</si>
  <si>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</si>
  <si>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</si>
  <si>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</si>
  <si>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</si>
  <si>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</si>
  <si>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</si>
  <si>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</si>
  <si>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</si>
  <si>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</si>
  <si>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</si>
  <si>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</si>
  <si>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</si>
  <si>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</si>
  <si>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</si>
  <si>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</si>
  <si>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</si>
  <si>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</si>
  <si>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</si>
  <si>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</si>
  <si>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</si>
  <si>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</si>
  <si>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</si>
  <si>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</si>
  <si>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</si>
  <si>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</si>
  <si>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</si>
  <si>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</si>
  <si>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</si>
  <si>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</si>
  <si>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</si>
  <si>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</si>
  <si>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</si>
  <si>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</si>
  <si>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</si>
  <si>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</si>
  <si>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</si>
  <si>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</si>
  <si>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</si>
  <si>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</si>
  <si>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</si>
  <si>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</si>
  <si>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</si>
  <si>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</si>
  <si>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</si>
  <si>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</si>
  <si>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</si>
  <si>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</si>
  <si>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</si>
  <si>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</si>
  <si>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</si>
  <si>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</si>
  <si>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</si>
  <si>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</si>
  <si>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</si>
  <si>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</si>
  <si>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</si>
  <si>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</si>
  <si>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</si>
  <si>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</si>
  <si>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</si>
  <si>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</si>
  <si>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</si>
  <si>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</si>
  <si>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</si>
  <si>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</si>
  <si>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</si>
  <si>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</si>
  <si>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</si>
  <si>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</si>
  <si>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</si>
  <si>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</si>
  <si>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</si>
  <si>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</si>
  <si>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</si>
  <si>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</si>
  <si>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</si>
  <si>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</si>
  <si>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</si>
  <si>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</si>
  <si>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</si>
  <si>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</si>
  <si>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</si>
  <si>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</si>
  <si>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</si>
  <si>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</si>
  <si>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</si>
  <si>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</si>
  <si>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</si>
  <si>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</si>
  <si>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</si>
  <si>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</si>
  <si>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</si>
  <si>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</si>
  <si>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</si>
  <si>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</si>
  <si>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</si>
  <si>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</si>
  <si>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</si>
  <si>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</si>
  <si>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</si>
  <si>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</si>
  <si>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</si>
  <si>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</si>
  <si>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</si>
  <si>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</si>
  <si>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</si>
  <si>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</si>
  <si>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</si>
  <si>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</si>
  <si>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</si>
  <si>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</si>
  <si>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</si>
  <si>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</si>
  <si>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</si>
  <si>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</si>
  <si>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</si>
  <si>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</si>
  <si>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</si>
  <si>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</si>
  <si>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</si>
  <si>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</si>
  <si>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</si>
  <si>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</si>
  <si>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</si>
  <si>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</si>
  <si>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</si>
  <si>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</si>
  <si>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</si>
  <si>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</si>
  <si>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</si>
  <si>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</si>
  <si>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</si>
  <si>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</si>
  <si>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</si>
  <si>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</si>
  <si>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</si>
  <si>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</si>
  <si>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</si>
  <si>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</si>
  <si>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</si>
  <si>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</si>
  <si>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</si>
  <si>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</si>
  <si>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</si>
  <si>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</si>
  <si>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</si>
  <si>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</si>
  <si>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</si>
  <si>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</si>
  <si>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</si>
  <si>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</si>
  <si>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</si>
  <si>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</si>
  <si>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</si>
  <si>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</si>
  <si>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</si>
  <si>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</si>
  <si>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</si>
  <si>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</si>
  <si>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</si>
  <si>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</si>
  <si>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</si>
  <si>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</si>
  <si>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</si>
  <si>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</si>
  <si>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</si>
  <si>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</si>
  <si>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</si>
  <si>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</si>
  <si>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</si>
  <si>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</si>
  <si>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</si>
  <si>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</si>
  <si>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</si>
  <si>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</si>
  <si>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</si>
  <si>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</si>
  <si>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</si>
  <si>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</si>
  <si>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</si>
  <si>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</si>
  <si>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</si>
  <si>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</si>
  <si>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</si>
  <si>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</si>
  <si>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</si>
  <si>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</si>
  <si>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</si>
  <si>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</si>
  <si>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</si>
  <si>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</si>
  <si>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</si>
  <si>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</si>
  <si>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</si>
  <si>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</si>
  <si>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</si>
  <si>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</si>
  <si>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</si>
  <si>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</si>
  <si>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</si>
  <si>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</si>
  <si>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</si>
  <si>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</si>
  <si>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</si>
  <si>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</si>
  <si>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</si>
  <si>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</si>
  <si>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</si>
  <si>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</si>
  <si>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</si>
  <si>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</si>
  <si>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</si>
  <si>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</si>
  <si>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</si>
  <si>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</si>
  <si>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</si>
  <si>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</si>
  <si>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</si>
  <si>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</si>
  <si>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</si>
  <si>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</si>
  <si>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</si>
  <si>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</si>
  <si>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</si>
  <si>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</si>
  <si>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</si>
  <si>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</si>
  <si>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</si>
  <si>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</si>
  <si>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</si>
  <si>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</si>
  <si>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</si>
  <si>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</si>
  <si>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</si>
  <si>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</si>
  <si>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</si>
  <si>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</si>
  <si>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</si>
  <si>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</si>
  <si>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</si>
  <si>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</si>
  <si>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</si>
  <si>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</si>
  <si>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</si>
  <si>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</si>
  <si>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</si>
  <si>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</si>
  <si>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</si>
  <si>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</si>
  <si>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</si>
  <si>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</si>
  <si>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</si>
  <si>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</si>
  <si>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</si>
  <si>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</si>
  <si>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</si>
  <si>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</si>
  <si>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</si>
  <si>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</si>
  <si>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</si>
  <si>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</si>
  <si>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</si>
  <si>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</si>
  <si>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</si>
  <si>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</si>
  <si>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</si>
  <si>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</si>
  <si>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</si>
  <si>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</si>
  <si>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</si>
  <si>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</si>
  <si>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</si>
  <si>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</si>
  <si>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</si>
  <si>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</si>
  <si>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</si>
  <si>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</si>
  <si>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</si>
  <si>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</si>
  <si>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</si>
  <si>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</si>
  <si>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</si>
  <si>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</si>
  <si>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</si>
  <si>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</si>
  <si>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</si>
  <si>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</si>
  <si>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</si>
  <si>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</si>
  <si>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</si>
  <si>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</si>
  <si>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</si>
  <si>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</si>
  <si>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</si>
  <si>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</si>
  <si>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</si>
  <si>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</si>
  <si>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</si>
  <si>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</si>
  <si>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</si>
  <si>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</si>
  <si>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</si>
  <si>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</si>
  <si>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</si>
  <si>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</si>
  <si>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</si>
  <si>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</si>
  <si>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</si>
  <si>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</si>
  <si>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</si>
  <si>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</si>
  <si>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</si>
  <si>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</si>
  <si>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</si>
  <si>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</si>
  <si>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</si>
  <si>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</si>
  <si>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</si>
  <si>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</si>
  <si>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</si>
  <si>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</si>
  <si>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</si>
  <si>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</si>
  <si>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</si>
  <si>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</si>
  <si>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</si>
  <si>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</si>
  <si>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</si>
  <si>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</si>
  <si>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</si>
  <si>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</si>
  <si>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</si>
  <si>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</si>
  <si>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</si>
  <si>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</si>
  <si>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</si>
  <si>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</si>
  <si>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</si>
  <si>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</si>
  <si>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</si>
  <si>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</si>
  <si>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</si>
  <si>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</si>
  <si>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</si>
  <si>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</si>
  <si>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</si>
  <si>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</si>
  <si>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</si>
  <si>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</si>
  <si>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</si>
  <si>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</si>
  <si>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</si>
  <si>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</si>
  <si>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</si>
  <si>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</si>
  <si>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</si>
  <si>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</si>
  <si>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</si>
  <si>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</si>
  <si>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</si>
  <si>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</si>
  <si>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</si>
  <si>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</si>
  <si>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</si>
  <si>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</si>
  <si>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</si>
  <si>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</si>
  <si>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</si>
  <si>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</si>
  <si>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</si>
  <si>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</si>
  <si>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</si>
  <si>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</si>
  <si>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</si>
  <si>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</si>
  <si>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</si>
  <si>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</si>
  <si>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</si>
  <si>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</si>
  <si>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</si>
  <si>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</si>
  <si>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</si>
  <si>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</si>
  <si>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</si>
  <si>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</si>
  <si>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</si>
  <si>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</si>
  <si>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</si>
  <si>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</si>
  <si>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</si>
  <si>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</si>
  <si>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</si>
  <si>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</si>
  <si>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</si>
  <si>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</si>
  <si>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</si>
  <si>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</si>
  <si>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</si>
  <si>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</si>
  <si>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</si>
  <si>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</si>
  <si>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</si>
  <si>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</si>
  <si>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</si>
  <si>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</si>
  <si>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</si>
  <si>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</si>
  <si>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</si>
  <si>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</si>
  <si>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</si>
  <si>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</si>
  <si>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</si>
  <si>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</si>
  <si>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</si>
  <si>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</si>
  <si>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</si>
  <si>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</si>
  <si>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</si>
  <si>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</si>
  <si>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</si>
  <si>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</si>
  <si>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</si>
  <si>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</si>
  <si>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</si>
  <si>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</si>
  <si>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</si>
  <si>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</si>
  <si>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</si>
  <si>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</si>
  <si>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</si>
  <si>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</si>
  <si>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</si>
  <si>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</si>
  <si>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</si>
  <si>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</si>
  <si>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</si>
  <si>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</si>
  <si>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</si>
  <si>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</si>
  <si>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</si>
  <si>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</si>
  <si>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</si>
  <si>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</si>
  <si>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</si>
  <si>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</si>
  <si>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</si>
  <si>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</si>
  <si>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</si>
  <si>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</si>
  <si>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</si>
  <si>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</si>
  <si>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</si>
  <si>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</si>
  <si>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</si>
  <si>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</si>
  <si>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</si>
  <si>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</si>
  <si>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</si>
  <si>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</si>
  <si>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</si>
  <si>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</si>
  <si>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</si>
  <si>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</si>
  <si>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</si>
  <si>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</si>
  <si>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</si>
  <si>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</si>
  <si>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</si>
  <si>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</si>
  <si>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</si>
  <si>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</si>
  <si>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</si>
  <si>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</si>
  <si>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</si>
  <si>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</si>
  <si>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</si>
  <si>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</si>
  <si>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</si>
  <si>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</si>
  <si>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</si>
  <si>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</si>
  <si>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</si>
  <si>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</si>
  <si>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</si>
  <si>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</si>
  <si>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</si>
  <si>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</si>
  <si>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</si>
  <si>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</si>
  <si>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</si>
  <si>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</si>
  <si>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</si>
  <si>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</si>
  <si>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</si>
  <si>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</si>
  <si>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</si>
  <si>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</si>
  <si>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</si>
  <si>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</si>
  <si>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</si>
  <si>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</si>
  <si>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</si>
  <si>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</si>
  <si>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</si>
  <si>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</si>
  <si>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</si>
  <si>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</si>
  <si>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</si>
  <si>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</si>
  <si>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</si>
  <si>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</si>
  <si>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</si>
  <si>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</si>
  <si>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</si>
  <si>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</si>
  <si>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</si>
  <si>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</si>
  <si>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</si>
  <si>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</si>
  <si>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</si>
  <si>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</si>
  <si>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</si>
  <si>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</si>
  <si>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</si>
  <si>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</si>
  <si>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</si>
  <si>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</si>
  <si>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</si>
  <si>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</si>
  <si>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</si>
  <si>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</si>
  <si>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</si>
  <si>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</si>
  <si>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</si>
  <si>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</si>
  <si>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</si>
  <si>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</si>
  <si>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</si>
  <si>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</si>
  <si>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</si>
  <si>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</si>
  <si>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</si>
  <si>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</si>
  <si>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</si>
  <si>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</si>
  <si>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</si>
  <si>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</si>
  <si>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</si>
  <si>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</si>
  <si>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</si>
  <si>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</si>
  <si>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</si>
  <si>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</si>
  <si>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</si>
  <si>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</si>
  <si>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</si>
  <si>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</si>
  <si>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</si>
  <si>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</si>
  <si>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</si>
  <si>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</si>
  <si>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</si>
  <si>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</si>
  <si>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</si>
  <si>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</si>
  <si>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</si>
  <si>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</si>
  <si>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</si>
  <si>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</si>
  <si>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</si>
  <si>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</si>
  <si>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</si>
  <si>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</si>
  <si>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</si>
  <si>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</si>
  <si>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</si>
  <si>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</si>
  <si>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</si>
  <si>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</si>
  <si>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</si>
  <si>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</si>
  <si>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</si>
  <si>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</si>
  <si>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</si>
  <si>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</si>
  <si>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</si>
  <si>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</si>
  <si>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</si>
  <si>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</si>
  <si>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</si>
  <si>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</si>
  <si>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</si>
  <si>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</si>
  <si>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</si>
  <si>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</si>
  <si>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</si>
  <si>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</si>
  <si>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</si>
  <si>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</si>
  <si>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</si>
  <si>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</si>
  <si>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</si>
  <si>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</si>
  <si>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</si>
  <si>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</si>
  <si>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</si>
  <si>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</si>
  <si>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</si>
  <si>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</si>
  <si>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</si>
  <si>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</si>
  <si>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</si>
  <si>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</si>
  <si>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</si>
  <si>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</si>
  <si>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</si>
  <si>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</si>
  <si>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</si>
  <si>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</si>
  <si>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</si>
  <si>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</si>
  <si>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</si>
  <si>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</si>
  <si>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</si>
  <si>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</si>
  <si>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</si>
  <si>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</si>
  <si>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</si>
  <si>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</si>
  <si>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</si>
  <si>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</si>
  <si>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</si>
  <si>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</si>
  <si>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</si>
  <si>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</si>
  <si>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</si>
  <si>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</si>
  <si>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</si>
  <si>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</si>
  <si>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</si>
  <si>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</si>
  <si>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</si>
  <si>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</si>
  <si>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</si>
  <si>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</si>
  <si>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</si>
  <si>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</si>
  <si>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</si>
  <si>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</si>
  <si>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</si>
  <si>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</si>
  <si>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</si>
  <si>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</si>
  <si>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</si>
  <si>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</si>
  <si>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</si>
  <si>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</si>
  <si>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</si>
  <si>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</si>
  <si>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</si>
  <si>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</si>
  <si>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</si>
  <si>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</si>
  <si>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</si>
  <si>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</si>
  <si>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</si>
  <si>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</si>
  <si>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</si>
  <si>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</si>
  <si>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</si>
  <si>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</si>
  <si>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</si>
  <si>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</si>
  <si>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</si>
  <si>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</si>
  <si>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</si>
  <si>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</si>
  <si>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</si>
  <si>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</si>
  <si>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</si>
  <si>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</si>
  <si>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</si>
  <si>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</si>
  <si>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</si>
  <si>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</si>
  <si>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</si>
  <si>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</si>
  <si>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</si>
  <si>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</si>
  <si>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</si>
  <si>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</si>
  <si>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</si>
  <si>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</si>
  <si>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</si>
  <si>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</si>
  <si>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</si>
  <si>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</si>
  <si>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</si>
  <si>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</si>
  <si>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</si>
  <si>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</si>
  <si>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</si>
  <si>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</si>
  <si>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</si>
  <si>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</si>
  <si>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</si>
  <si>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</si>
  <si>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</si>
  <si>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</si>
  <si>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</si>
  <si>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</si>
  <si>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</si>
  <si>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</si>
  <si>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</si>
  <si>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</si>
  <si>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</si>
  <si>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</si>
  <si>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</si>
  <si>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</si>
  <si>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</si>
  <si>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</si>
  <si>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</si>
  <si>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</si>
  <si>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</si>
  <si>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</si>
  <si>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</si>
  <si>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</si>
  <si>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</si>
  <si>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</si>
  <si>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</si>
  <si>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</si>
  <si>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</si>
  <si>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</si>
  <si>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</si>
  <si>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</si>
  <si>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</si>
  <si>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</si>
  <si>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</si>
  <si>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</si>
  <si>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</si>
  <si>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</si>
  <si>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</si>
  <si>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</si>
  <si>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</si>
  <si>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</si>
  <si>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</si>
  <si>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</si>
  <si>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</si>
  <si>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</si>
  <si>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</si>
  <si>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</si>
  <si>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</si>
  <si>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</si>
  <si>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</si>
  <si>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</si>
  <si>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</si>
  <si>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</si>
  <si>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</si>
  <si>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</si>
  <si>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</si>
  <si>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</si>
  <si>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</si>
  <si>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</si>
  <si>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</si>
  <si>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</si>
  <si>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</si>
  <si>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</si>
  <si>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</si>
  <si>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</si>
  <si>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</si>
  <si>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</si>
  <si>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</si>
  <si>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</si>
  <si>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</si>
  <si>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</si>
  <si>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</si>
  <si>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</si>
  <si>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</si>
  <si>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</si>
  <si>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</si>
  <si>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</si>
  <si>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</si>
  <si>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</si>
  <si>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</si>
  <si>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</si>
  <si>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</si>
  <si>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</si>
  <si>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</si>
  <si>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</si>
  <si>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</si>
  <si>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</si>
  <si>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</si>
  <si>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</si>
  <si>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</si>
  <si>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</si>
  <si>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</si>
  <si>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</si>
  <si>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</si>
  <si>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</si>
  <si>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</si>
  <si>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</si>
  <si>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</si>
  <si>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</si>
  <si>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</si>
  <si>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</si>
  <si>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</si>
  <si>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</si>
  <si>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</si>
  <si>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</si>
  <si>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</si>
  <si>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</si>
  <si>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</si>
  <si>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</si>
  <si>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</si>
  <si>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</si>
  <si>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</si>
  <si>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</si>
  <si>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</si>
  <si>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</si>
  <si>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</si>
  <si>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</si>
  <si>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</si>
  <si>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</si>
  <si>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</si>
  <si>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</si>
  <si>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</si>
  <si>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</si>
  <si>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</si>
  <si>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</si>
  <si>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</si>
  <si>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</si>
  <si>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</si>
  <si>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</si>
  <si>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</si>
  <si>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</si>
  <si>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</si>
  <si>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</si>
  <si>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</si>
  <si>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</si>
  <si>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</si>
  <si>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</si>
  <si>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</si>
  <si>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</si>
  <si>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</si>
  <si>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</si>
  <si>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</si>
  <si>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</si>
  <si>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</si>
  <si>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</si>
  <si>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</si>
  <si>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</si>
  <si>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</si>
  <si>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</si>
  <si>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</si>
  <si>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</si>
  <si>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</si>
  <si>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</si>
  <si>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</si>
  <si>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</si>
  <si>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</si>
  <si>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</si>
  <si>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</si>
  <si>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</si>
  <si>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</si>
  <si>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</si>
  <si>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</si>
  <si>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</si>
  <si>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</si>
  <si>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</si>
  <si>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</si>
  <si>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</si>
  <si>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</si>
  <si>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</si>
  <si>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</si>
  <si>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</si>
  <si>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</si>
  <si>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</si>
  <si>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</si>
  <si>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</si>
  <si>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</si>
  <si>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</si>
  <si>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</si>
  <si>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</si>
  <si>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</si>
  <si>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</si>
  <si>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</si>
  <si>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</si>
  <si>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</si>
  <si>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</si>
  <si>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</si>
  <si>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</si>
  <si>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</si>
  <si>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</si>
  <si>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</si>
  <si>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</si>
  <si>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</si>
  <si>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</si>
  <si>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</si>
  <si>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</si>
  <si>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</si>
  <si>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</si>
  <si>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</si>
  <si>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</si>
  <si>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</si>
  <si>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</si>
  <si>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</si>
  <si>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</si>
  <si>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</si>
  <si>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</si>
  <si>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</si>
  <si>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</si>
  <si>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</si>
  <si>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</si>
  <si>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</si>
  <si>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</si>
  <si>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</si>
  <si>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</si>
  <si>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</si>
  <si>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</si>
  <si>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</si>
  <si>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</si>
  <si>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</si>
  <si>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</si>
  <si>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</si>
  <si>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</si>
  <si>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</si>
  <si>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</si>
  <si>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</si>
  <si>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</si>
  <si>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</si>
  <si>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</si>
  <si>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</si>
  <si>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</si>
  <si>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</si>
  <si>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</si>
  <si>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</si>
  <si>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</si>
  <si>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</si>
  <si>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</si>
  <si>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</si>
  <si>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</si>
  <si>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</si>
  <si>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</si>
  <si>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</si>
  <si>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</si>
  <si>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</si>
  <si>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</si>
  <si>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</si>
  <si>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</si>
  <si>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</si>
  <si>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</si>
  <si>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</si>
  <si>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</si>
  <si>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</si>
  <si>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</si>
  <si>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</si>
  <si>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</si>
  <si>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</si>
  <si>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</si>
  <si>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</si>
  <si>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</si>
  <si>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</si>
  <si>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</si>
  <si>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</si>
  <si>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</si>
  <si>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</si>
  <si>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</si>
  <si>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</si>
  <si>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</si>
  <si>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</si>
  <si>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</si>
  <si>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</si>
  <si>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</si>
  <si>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</si>
  <si>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</si>
  <si>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</si>
  <si>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</si>
  <si>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</si>
  <si>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</si>
  <si>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</si>
  <si>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</si>
  <si>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</si>
  <si>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</si>
  <si>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</si>
  <si>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</si>
  <si>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</si>
  <si>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</si>
  <si>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</si>
  <si>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</si>
  <si>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</si>
  <si>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</si>
  <si>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</si>
  <si>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</si>
  <si>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</si>
  <si>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</si>
  <si>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</si>
  <si>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</si>
  <si>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</si>
  <si>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</si>
  <si>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</si>
  <si>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</si>
  <si>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</si>
  <si>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</si>
  <si>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</si>
  <si>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</si>
  <si>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</si>
  <si>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</si>
  <si>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</si>
  <si>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</si>
  <si>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</si>
  <si>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</si>
  <si>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</si>
  <si>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</si>
  <si>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</si>
  <si>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</si>
  <si>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</si>
  <si>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</si>
  <si>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</si>
  <si>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</si>
  <si>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</si>
  <si>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</si>
  <si>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</si>
  <si>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</si>
  <si>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</si>
  <si>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</si>
  <si>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</si>
  <si>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</si>
  <si>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</si>
  <si>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</si>
  <si>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</si>
  <si>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</si>
  <si>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</si>
  <si>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</si>
  <si>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</si>
  <si>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</si>
  <si>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</si>
  <si>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</si>
  <si>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</si>
  <si>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</si>
  <si>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</si>
  <si>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</si>
  <si>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</si>
  <si>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</si>
  <si>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</si>
  <si>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</si>
  <si>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</si>
  <si>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</si>
  <si>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</si>
  <si>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</si>
  <si>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</si>
  <si>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</si>
  <si>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</si>
  <si>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</si>
  <si>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</si>
  <si>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</si>
  <si>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</si>
  <si>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</si>
  <si>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</si>
  <si>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</si>
  <si>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</si>
  <si>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</si>
  <si>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</si>
  <si>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</si>
  <si>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</si>
  <si>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</si>
  <si>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</si>
  <si>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</si>
  <si>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</si>
  <si>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</si>
  <si>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</si>
  <si>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</si>
  <si>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</si>
  <si>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</si>
  <si>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</si>
  <si>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</si>
  <si>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</si>
  <si>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</si>
  <si>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</si>
  <si>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</si>
  <si>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</si>
  <si>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</si>
  <si>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</si>
  <si>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</si>
  <si>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</si>
  <si>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</si>
  <si>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</si>
  <si>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</si>
  <si>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</si>
  <si>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</si>
  <si>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</si>
  <si>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</si>
  <si>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</si>
  <si>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</si>
  <si>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</si>
  <si>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</si>
  <si>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</si>
  <si>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</si>
  <si>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</si>
  <si>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</si>
  <si>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</si>
  <si>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</si>
  <si>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</si>
  <si>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</si>
  <si>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</si>
  <si>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</si>
  <si>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</si>
  <si>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</si>
  <si>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</si>
  <si>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</si>
  <si>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</si>
  <si>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</si>
  <si>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</si>
  <si>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</si>
  <si>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</si>
  <si>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</si>
  <si>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</si>
  <si>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</si>
  <si>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</si>
  <si>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</si>
  <si>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</si>
  <si>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</si>
  <si>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</si>
  <si>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</si>
  <si>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</si>
  <si>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</si>
  <si>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</si>
  <si>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</si>
  <si>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</si>
  <si>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</si>
  <si>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</si>
  <si>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</si>
  <si>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</si>
  <si>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</si>
  <si>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</si>
  <si>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</si>
  <si>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</si>
  <si>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</si>
  <si>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</si>
  <si>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</si>
  <si>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</si>
  <si>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</si>
  <si>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</si>
  <si>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</si>
  <si>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</si>
  <si>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</si>
  <si>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</si>
  <si>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</si>
  <si>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</si>
  <si>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</si>
  <si>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</si>
  <si>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</si>
  <si>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</si>
  <si>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</si>
  <si>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</si>
  <si>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</si>
  <si>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</si>
  <si>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</si>
  <si>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</si>
  <si>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</si>
  <si>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</si>
  <si>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</si>
  <si>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</si>
  <si>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</si>
  <si>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</si>
  <si>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</si>
  <si>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</si>
  <si>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</si>
  <si>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</si>
  <si>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</si>
  <si>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</si>
  <si>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</si>
  <si>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</si>
  <si>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</si>
  <si>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</si>
  <si>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</si>
  <si>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</si>
  <si>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</si>
  <si>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</si>
  <si>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</si>
  <si>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</si>
  <si>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</si>
  <si>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</si>
  <si>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</si>
  <si>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</si>
  <si>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</si>
  <si>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</si>
  <si>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</si>
  <si>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</si>
  <si>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</si>
  <si>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</si>
  <si>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</si>
  <si>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</si>
  <si>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</si>
  <si>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</si>
  <si>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</si>
  <si>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</si>
  <si>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</si>
  <si>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</si>
  <si>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</si>
  <si>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</si>
  <si>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</si>
  <si>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</si>
  <si>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</si>
  <si>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</si>
  <si>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</si>
  <si>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</si>
  <si>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</si>
  <si>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</si>
  <si>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</si>
  <si>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</si>
  <si>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</si>
  <si>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</si>
  <si>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</si>
  <si>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</si>
  <si>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</si>
  <si>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</si>
  <si>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</si>
  <si>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</si>
  <si>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</si>
  <si>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</si>
  <si>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</si>
  <si>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</si>
  <si>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</si>
  <si>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</si>
  <si>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</si>
  <si>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</si>
  <si>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</si>
  <si>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</si>
  <si>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</si>
  <si>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</si>
  <si>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</si>
  <si>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</si>
  <si>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</si>
  <si>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</si>
  <si>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</si>
  <si>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</si>
  <si>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</si>
  <si>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</si>
  <si>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</si>
  <si>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</si>
  <si>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</si>
  <si>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</si>
  <si>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</si>
  <si>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</si>
  <si>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</si>
  <si>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</si>
  <si>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</si>
  <si>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</si>
  <si>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</si>
  <si>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</si>
  <si>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</si>
  <si>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</si>
  <si>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</si>
  <si>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</si>
  <si>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</si>
  <si>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</si>
  <si>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</si>
  <si>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</si>
  <si>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</si>
  <si>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</si>
  <si>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</si>
  <si>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</si>
  <si>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</si>
  <si>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</si>
  <si>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</si>
  <si>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</si>
  <si>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</si>
  <si>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</si>
  <si>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</si>
  <si>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</si>
  <si>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</si>
  <si>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</si>
  <si>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</si>
  <si>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</si>
  <si>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</si>
  <si>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</si>
  <si>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</si>
  <si>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</si>
  <si>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</si>
  <si>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</si>
  <si>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</si>
  <si>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</si>
  <si>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</si>
  <si>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</si>
  <si>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</si>
  <si>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</si>
  <si>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</si>
  <si>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</si>
  <si>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</si>
  <si>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</si>
  <si>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</si>
  <si>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</si>
  <si>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</si>
  <si>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</si>
  <si>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</si>
  <si>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</si>
  <si>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</si>
  <si>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</si>
  <si>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</si>
  <si>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</si>
  <si>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</si>
  <si>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</si>
  <si>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</si>
  <si>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</si>
  <si>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</si>
  <si>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</si>
  <si>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</si>
  <si>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</si>
  <si>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</si>
  <si>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</si>
  <si>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</si>
  <si>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</si>
  <si>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</si>
  <si>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</si>
  <si>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</si>
  <si>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</si>
  <si>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</si>
  <si>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</si>
  <si>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</si>
  <si>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</si>
  <si>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</si>
  <si>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</si>
  <si>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</si>
  <si>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</si>
  <si>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</si>
  <si>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</si>
  <si>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</si>
  <si>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</si>
  <si>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</si>
  <si>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</si>
  <si>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</si>
  <si>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</si>
  <si>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</si>
  <si>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</si>
  <si>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</si>
  <si>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</si>
  <si>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</si>
  <si>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</si>
  <si>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</si>
  <si>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</si>
  <si>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</si>
  <si>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</si>
  <si>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</si>
  <si>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</si>
  <si>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</si>
  <si>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</si>
  <si>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</si>
  <si>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</si>
  <si>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</si>
  <si>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</si>
  <si>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</si>
  <si>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</si>
  <si>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</si>
  <si>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</si>
  <si>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</si>
  <si>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</si>
  <si>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</si>
  <si>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</si>
  <si>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</si>
  <si>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</si>
  <si>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</si>
  <si>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</si>
  <si>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</si>
  <si>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</si>
  <si>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</si>
  <si>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</si>
  <si>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</si>
  <si>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</si>
  <si>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</si>
  <si>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</si>
  <si>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</si>
  <si>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</si>
  <si>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</si>
  <si>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</si>
  <si>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</si>
  <si>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</si>
  <si>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</si>
  <si>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</si>
  <si>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</si>
  <si>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</si>
  <si>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</si>
  <si>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</si>
  <si>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</si>
  <si>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</si>
  <si>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</si>
  <si>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</si>
  <si>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</si>
  <si>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</si>
  <si>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</si>
  <si>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</si>
  <si>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</si>
  <si>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</si>
  <si>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</si>
  <si>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</si>
  <si>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</si>
  <si>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</si>
  <si>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</si>
  <si>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</si>
  <si>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</si>
  <si>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</si>
  <si>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</si>
  <si>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</si>
  <si>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</si>
  <si>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</si>
  <si>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</si>
  <si>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</si>
  <si>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</si>
  <si>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</si>
  <si>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</si>
  <si>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</si>
  <si>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</si>
  <si>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</si>
  <si>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</si>
  <si>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</si>
  <si>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</si>
  <si>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</si>
  <si>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</si>
  <si>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</si>
  <si>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</si>
  <si>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</si>
  <si>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</si>
  <si>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</si>
  <si>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</si>
  <si>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</si>
  <si>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</si>
  <si>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</si>
  <si>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</si>
  <si>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</si>
  <si>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</si>
  <si>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</si>
  <si>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</si>
  <si>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</si>
  <si>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</si>
  <si>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</si>
  <si>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</si>
  <si>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</si>
  <si>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</si>
  <si>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</si>
  <si>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</si>
  <si>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</si>
  <si>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</si>
  <si>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</si>
  <si>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</si>
  <si>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</si>
  <si>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</si>
  <si>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</si>
  <si>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</si>
  <si>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</si>
  <si>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</si>
  <si>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</si>
  <si>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</si>
  <si>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</si>
  <si>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</si>
  <si>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</si>
  <si>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</si>
  <si>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</si>
  <si>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</si>
  <si>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</si>
  <si>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</si>
  <si>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</si>
  <si>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</si>
  <si>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</si>
  <si>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</si>
  <si>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</si>
  <si>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</si>
  <si>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</si>
  <si>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</si>
  <si>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</si>
  <si>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</si>
  <si>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</si>
  <si>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</si>
  <si>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</si>
  <si>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</si>
  <si>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</si>
  <si>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</si>
  <si>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</si>
  <si>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</si>
  <si>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</si>
  <si>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</si>
  <si>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</si>
  <si>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</si>
  <si>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</si>
  <si>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</si>
  <si>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</si>
  <si>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</si>
  <si>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</si>
  <si>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</si>
  <si>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</si>
  <si>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</si>
  <si>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</si>
  <si>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</si>
  <si>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</si>
  <si>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</si>
  <si>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</si>
  <si>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</si>
  <si>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</si>
  <si>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</si>
  <si>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</si>
  <si>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</si>
  <si>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</si>
  <si>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</si>
  <si>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</si>
  <si>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</si>
  <si>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</si>
  <si>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</si>
  <si>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</si>
  <si>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</si>
  <si>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</si>
  <si>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</si>
  <si>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</si>
  <si>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</si>
  <si>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</si>
  <si>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</si>
  <si>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</si>
  <si>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</si>
  <si>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</si>
  <si>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</si>
  <si>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</si>
  <si>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</si>
  <si>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</si>
  <si>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</si>
  <si>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</si>
  <si>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</si>
  <si>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</si>
  <si>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</si>
  <si>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</si>
  <si>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</si>
  <si>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</si>
  <si>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</si>
  <si>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</si>
  <si>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</si>
  <si>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</si>
  <si>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</si>
  <si>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</si>
  <si>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</si>
  <si>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</si>
  <si>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</si>
  <si>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</si>
  <si>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</si>
  <si>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</si>
  <si>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</si>
  <si>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</si>
  <si>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</si>
  <si>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</si>
  <si>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</si>
  <si>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</si>
  <si>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</si>
  <si>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</si>
  <si>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</si>
  <si>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</si>
  <si>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</si>
  <si>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</si>
  <si>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</si>
  <si>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</si>
  <si>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</si>
  <si>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</si>
  <si>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</si>
  <si>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</si>
  <si>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</si>
  <si>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</si>
  <si>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</si>
  <si>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</si>
  <si>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</si>
  <si>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</si>
  <si>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</si>
  <si>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</si>
  <si>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</si>
  <si>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</si>
  <si>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</si>
  <si>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</si>
  <si>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</si>
  <si>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</si>
  <si>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</si>
  <si>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</si>
  <si>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</si>
  <si>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</si>
  <si>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</si>
  <si>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</si>
  <si>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</si>
  <si>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</si>
  <si>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</si>
  <si>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</si>
  <si>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</si>
  <si>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</si>
  <si>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</si>
  <si>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</si>
  <si>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</si>
  <si>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</si>
  <si>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</si>
  <si>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</si>
  <si>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</si>
  <si>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</si>
  <si>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</si>
  <si>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</si>
  <si>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</si>
  <si>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</si>
  <si>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</si>
  <si>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</si>
  <si>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</si>
  <si>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</si>
  <si>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</si>
  <si>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</si>
  <si>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</si>
  <si>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</si>
  <si>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</si>
  <si>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</si>
  <si>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</si>
  <si>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</si>
  <si>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</si>
  <si>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</si>
  <si>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</si>
  <si>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</si>
  <si>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</si>
  <si>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</si>
  <si>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</si>
  <si>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</si>
  <si>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</si>
  <si>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</si>
  <si>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</si>
  <si>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</si>
  <si>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</si>
  <si>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</si>
  <si>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</si>
  <si>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</si>
  <si>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</si>
  <si>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</si>
  <si>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</si>
  <si>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</si>
  <si>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</si>
  <si>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</si>
  <si>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</si>
  <si>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</si>
  <si>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</si>
  <si>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</si>
  <si>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</si>
  <si>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</si>
  <si>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</si>
  <si>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</si>
  <si>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</si>
  <si>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</si>
  <si>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</si>
  <si>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</si>
  <si>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</si>
  <si>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</si>
  <si>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</si>
  <si>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</si>
  <si>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</si>
  <si>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</si>
  <si>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</si>
  <si>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</si>
  <si>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</si>
  <si>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</si>
  <si>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</si>
  <si>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</si>
  <si>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</si>
  <si>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</si>
  <si>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</si>
  <si>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</si>
  <si>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</si>
  <si>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</si>
  <si>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</si>
  <si>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</si>
  <si>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</si>
  <si>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</si>
  <si>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</si>
  <si>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</si>
  <si>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</si>
  <si>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</si>
  <si>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</si>
  <si>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</si>
  <si>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</si>
  <si>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</si>
  <si>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</si>
  <si>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</si>
  <si>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</si>
  <si>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</si>
  <si>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</si>
  <si>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</si>
  <si>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</si>
  <si>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</si>
  <si>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</si>
  <si>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</si>
  <si>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</si>
  <si>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</si>
  <si>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</si>
  <si>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</si>
  <si>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</si>
  <si>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</si>
  <si>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</si>
  <si>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</si>
  <si>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</si>
  <si>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</si>
  <si>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</si>
  <si>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</si>
  <si>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</si>
  <si>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</si>
  <si>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</si>
  <si>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</si>
  <si>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</si>
  <si>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</si>
  <si>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</si>
  <si>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</si>
  <si>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</si>
  <si>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</si>
  <si>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</si>
  <si>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</si>
  <si>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</si>
  <si>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</si>
  <si>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</si>
  <si>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</si>
  <si>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</si>
  <si>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</si>
  <si>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</si>
  <si>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</si>
  <si>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</si>
  <si>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</si>
  <si>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</si>
  <si>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</si>
  <si>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</si>
  <si>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</si>
  <si>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</si>
  <si>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</si>
  <si>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</si>
  <si>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</si>
  <si>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</si>
  <si>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</si>
  <si>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</si>
  <si>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</si>
  <si>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</si>
  <si>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</si>
  <si>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</si>
  <si>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</si>
  <si>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</si>
  <si>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</si>
  <si>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</si>
  <si>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</si>
  <si>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</si>
  <si>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</si>
  <si>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</si>
  <si>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</si>
  <si>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</si>
  <si>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</si>
  <si>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</si>
  <si>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</si>
  <si>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</si>
  <si>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</si>
  <si>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</si>
  <si>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</si>
  <si>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</si>
  <si>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</si>
  <si>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</si>
  <si>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</si>
  <si>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</si>
  <si>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</si>
  <si>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</si>
  <si>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</si>
  <si>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</si>
  <si>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</si>
  <si>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</si>
  <si>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</si>
  <si>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</si>
  <si>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</si>
  <si>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</si>
  <si>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</si>
  <si>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</si>
  <si>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</si>
  <si>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</si>
  <si>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</si>
  <si>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</si>
  <si>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</si>
  <si>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</si>
  <si>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</si>
  <si>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</si>
  <si>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</si>
  <si>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</si>
  <si>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</si>
  <si>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</si>
  <si>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</si>
  <si>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</si>
  <si>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</si>
  <si>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</si>
  <si>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</si>
  <si>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</si>
  <si>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</si>
  <si>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</si>
  <si>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</si>
  <si>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</si>
  <si>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</si>
  <si>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</si>
  <si>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</si>
  <si>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</si>
  <si>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</si>
  <si>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</si>
  <si>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</si>
  <si>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</si>
  <si>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</si>
  <si>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</si>
  <si>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</si>
  <si>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</si>
  <si>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</si>
  <si>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</si>
  <si>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</si>
  <si>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</si>
  <si>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</si>
  <si>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</si>
  <si>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</si>
  <si>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</si>
  <si>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</si>
  <si>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</si>
  <si>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</si>
  <si>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</si>
  <si>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</si>
  <si>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</si>
  <si>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</si>
  <si>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</si>
  <si>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</si>
  <si>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</si>
  <si>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</si>
  <si>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</si>
  <si>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</si>
  <si>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</si>
  <si>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</si>
  <si>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</si>
  <si>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</si>
  <si>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</si>
  <si>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</si>
  <si>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</si>
  <si>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</si>
  <si>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</si>
  <si>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</si>
  <si>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</si>
  <si>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</si>
  <si>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</si>
  <si>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</si>
  <si>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</si>
  <si>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</si>
  <si>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</si>
  <si>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</si>
  <si>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</si>
  <si>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</si>
  <si>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</si>
  <si>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</si>
  <si>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</si>
  <si>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</si>
  <si>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</si>
  <si>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</si>
  <si>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</si>
  <si>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</si>
  <si>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</si>
  <si>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</si>
  <si>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</si>
  <si>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</si>
  <si>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</si>
  <si>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</si>
  <si>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</si>
  <si>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</si>
  <si>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</si>
  <si>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</si>
  <si>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</si>
  <si>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</si>
  <si>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</si>
  <si>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</si>
  <si>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</si>
  <si>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</si>
  <si>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</si>
  <si>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</si>
  <si>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</si>
  <si>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</si>
  <si>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</si>
  <si>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</si>
  <si>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</si>
  <si>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</si>
  <si>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</si>
  <si>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</si>
  <si>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</si>
  <si>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</si>
  <si>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</si>
  <si>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</si>
  <si>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</si>
  <si>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</si>
  <si>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</si>
  <si>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</si>
  <si>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</si>
  <si>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</si>
  <si>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</si>
  <si>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</si>
  <si>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</si>
  <si>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</si>
  <si>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</si>
  <si>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</si>
  <si>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</si>
  <si>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</si>
  <si>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</si>
  <si>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</si>
  <si>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</si>
  <si>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</si>
  <si>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</si>
  <si>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</si>
  <si>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</si>
  <si>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</si>
  <si>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</si>
  <si>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</si>
  <si>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</si>
  <si>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</si>
  <si>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</si>
  <si>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</si>
  <si>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</si>
  <si>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</si>
  <si>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</si>
  <si>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</si>
  <si>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</si>
  <si>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</si>
  <si>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</si>
  <si>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</si>
  <si>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</si>
  <si>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</si>
  <si>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</si>
  <si>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</si>
  <si>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</si>
  <si>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</si>
  <si>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</si>
  <si>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</si>
  <si>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</si>
  <si>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</si>
  <si>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</si>
  <si>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</si>
  <si>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</si>
  <si>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</si>
  <si>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</si>
  <si>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</si>
  <si>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</si>
  <si>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</si>
  <si>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</si>
  <si>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</si>
  <si>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</si>
  <si>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</si>
  <si>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</si>
  <si>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</si>
  <si>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</si>
  <si>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</si>
  <si>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</si>
  <si>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</si>
  <si>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</si>
  <si>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</si>
  <si>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</si>
  <si>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</si>
  <si>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</si>
  <si>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</si>
  <si>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</si>
  <si>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</si>
  <si>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</si>
  <si>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</si>
  <si>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</si>
  <si>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</si>
  <si>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</si>
  <si>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</si>
  <si>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</si>
  <si>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</si>
  <si>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</si>
  <si>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</si>
  <si>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</si>
  <si>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</si>
  <si>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</si>
  <si>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</si>
  <si>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</si>
  <si>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</si>
  <si>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</si>
  <si>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</si>
  <si>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</si>
  <si>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</si>
  <si>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</si>
  <si>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</si>
  <si>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</si>
  <si>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</si>
  <si>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</si>
  <si>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</si>
  <si>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</si>
  <si>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</si>
  <si>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</si>
  <si>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</si>
  <si>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</si>
  <si>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</si>
  <si>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</si>
  <si>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</si>
  <si>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</si>
  <si>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</si>
  <si>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</si>
  <si>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</si>
  <si>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</si>
  <si>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</si>
  <si>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</si>
  <si>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</si>
  <si>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</si>
  <si>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</si>
  <si>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</si>
  <si>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</si>
  <si>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</si>
  <si>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</si>
  <si>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</si>
  <si>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</si>
  <si>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</si>
  <si>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</si>
  <si>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</si>
  <si>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</si>
  <si>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</si>
  <si>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</si>
  <si>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</si>
  <si>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</si>
  <si>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</si>
  <si>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</si>
  <si>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</si>
  <si>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</si>
  <si>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</si>
  <si>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</si>
  <si>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</si>
  <si>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</si>
  <si>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</si>
  <si>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</si>
  <si>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</si>
  <si>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</si>
  <si>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</si>
  <si>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</si>
  <si>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</si>
  <si>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</si>
  <si>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</si>
  <si>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</si>
  <si>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</si>
  <si>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</si>
  <si>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</si>
  <si>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</si>
  <si>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</si>
  <si>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</si>
  <si>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</si>
  <si>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</si>
  <si>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</si>
  <si>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</si>
  <si>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</si>
  <si>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</si>
  <si>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</si>
  <si>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</si>
  <si>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</si>
  <si>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</si>
  <si>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</si>
  <si>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</si>
  <si>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</si>
  <si>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</si>
  <si>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</si>
  <si>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</si>
  <si>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</si>
  <si>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</si>
  <si>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</si>
  <si>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</si>
  <si>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</si>
  <si>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</si>
  <si>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</si>
  <si>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</si>
  <si>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</si>
  <si>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</si>
  <si>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</si>
  <si>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</si>
  <si>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</si>
  <si>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</si>
  <si>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</si>
  <si>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</si>
  <si>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</si>
  <si>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</si>
  <si>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</si>
  <si>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</si>
  <si>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</si>
  <si>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</si>
  <si>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</si>
  <si>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</si>
  <si>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</si>
  <si>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</si>
  <si>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</si>
  <si>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</si>
  <si>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</si>
  <si>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</si>
  <si>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</si>
  <si>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</si>
  <si>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</si>
  <si>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</si>
  <si>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</si>
  <si>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</si>
  <si>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</si>
  <si>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</si>
  <si>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</si>
  <si>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</si>
  <si>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</si>
  <si>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</si>
  <si>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</si>
  <si>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</si>
  <si>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</si>
  <si>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</si>
  <si>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</si>
  <si>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</si>
  <si>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</si>
  <si>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</si>
  <si>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</si>
  <si>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</si>
  <si>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</si>
  <si>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</si>
  <si>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</si>
  <si>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</si>
  <si>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</si>
  <si>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</si>
  <si>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</si>
  <si>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</si>
  <si>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</si>
  <si>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</si>
  <si>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</si>
  <si>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</si>
  <si>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</si>
  <si>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</si>
  <si>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</si>
  <si>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</si>
  <si>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</si>
  <si>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</si>
  <si>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</si>
  <si>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</si>
  <si>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</si>
  <si>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</si>
  <si>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</si>
  <si>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</si>
  <si>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</si>
  <si>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</si>
  <si>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</si>
  <si>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</si>
  <si>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</si>
  <si>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</si>
  <si>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</si>
  <si>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</si>
  <si>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</si>
  <si>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</si>
  <si>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</si>
  <si>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</si>
  <si>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</si>
  <si>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</si>
  <si>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</si>
  <si>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</si>
  <si>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</si>
  <si>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</si>
  <si>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</si>
  <si>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</si>
  <si>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</si>
  <si>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</si>
  <si>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</si>
  <si>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</si>
  <si>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</si>
  <si>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</si>
  <si>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</si>
  <si>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</si>
  <si>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</si>
  <si>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</si>
  <si>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</si>
  <si>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</si>
  <si>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</si>
  <si>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</si>
  <si>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</si>
  <si>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</si>
  <si>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</si>
  <si>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</si>
  <si>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</si>
  <si>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</si>
  <si>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</si>
  <si>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</si>
  <si>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</si>
  <si>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</si>
  <si>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</si>
  <si>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</si>
  <si>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</si>
  <si>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</si>
  <si>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</si>
  <si>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</si>
  <si>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</si>
  <si>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</si>
  <si>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</si>
  <si>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</si>
  <si>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</si>
  <si>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</si>
  <si>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</si>
  <si>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</si>
  <si>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</si>
  <si>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</si>
  <si>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</si>
  <si>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</si>
  <si>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</si>
  <si>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</si>
  <si>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</si>
  <si>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</si>
  <si>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</si>
  <si>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</si>
  <si>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</si>
  <si>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</si>
  <si>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</si>
  <si>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</si>
  <si>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</si>
  <si>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</si>
  <si>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</si>
  <si>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</si>
  <si>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</si>
  <si>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</si>
  <si>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</si>
  <si>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</si>
  <si>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</si>
  <si>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</si>
  <si>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</si>
  <si>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</si>
  <si>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</si>
  <si>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</si>
  <si>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</si>
  <si>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</si>
  <si>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</si>
  <si>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</si>
  <si>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</si>
  <si>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</si>
  <si>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</si>
  <si>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</si>
  <si>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</si>
  <si>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</si>
  <si>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</si>
  <si>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</si>
  <si>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</si>
  <si>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</si>
  <si>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</si>
  <si>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</si>
  <si>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</si>
  <si>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</si>
  <si>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</si>
  <si>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</si>
  <si>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</si>
  <si>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</si>
  <si>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</si>
  <si>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</si>
  <si>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</si>
  <si>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</si>
  <si>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</si>
  <si>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</si>
  <si>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</si>
  <si>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</si>
  <si>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</si>
  <si>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</si>
  <si>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</si>
  <si>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</si>
  <si>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</si>
  <si>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</si>
  <si>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</si>
  <si>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</si>
  <si>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</si>
  <si>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</si>
  <si>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</si>
  <si>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</si>
  <si>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</si>
  <si>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</si>
  <si>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</si>
  <si>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</si>
  <si>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</si>
  <si>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</si>
  <si>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</si>
  <si>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</si>
  <si>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</si>
  <si>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</si>
  <si>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</si>
  <si>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</si>
  <si>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</si>
  <si>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</si>
  <si>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</si>
  <si>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</si>
  <si>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</si>
  <si>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</si>
  <si>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</si>
  <si>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</si>
  <si>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</si>
  <si>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</si>
  <si>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</si>
  <si>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</si>
  <si>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</si>
  <si>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</si>
  <si>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</si>
  <si>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</si>
  <si>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</si>
  <si>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</si>
  <si>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</si>
  <si>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</si>
  <si>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</si>
  <si>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</si>
  <si>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</si>
  <si>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</si>
  <si>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</si>
  <si>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</si>
  <si>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</si>
  <si>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</si>
  <si>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</si>
  <si>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</si>
  <si>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</si>
  <si>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</si>
  <si>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</si>
  <si>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</si>
  <si>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</si>
  <si>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</si>
  <si>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</si>
  <si>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</si>
  <si>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</si>
  <si>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</si>
  <si>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</si>
  <si>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</si>
  <si>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</si>
  <si>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</si>
  <si>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</si>
  <si>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</si>
  <si>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</si>
  <si>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</si>
  <si>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</si>
  <si>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</si>
  <si>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</si>
  <si>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</si>
  <si>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</si>
  <si>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</si>
  <si>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</si>
  <si>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</si>
  <si>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</si>
  <si>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</si>
  <si>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</si>
  <si>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</si>
  <si>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</si>
  <si>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</si>
  <si>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</si>
  <si>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</si>
  <si>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</si>
  <si>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</si>
  <si>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</si>
  <si>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</si>
  <si>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</si>
  <si>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</si>
  <si>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</si>
  <si>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</si>
  <si>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</si>
  <si>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</si>
  <si>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</si>
  <si>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</si>
  <si>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</si>
  <si>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</si>
  <si>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</si>
  <si>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</si>
  <si>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</si>
  <si>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</si>
  <si>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</si>
  <si>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</si>
  <si>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</si>
  <si>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</si>
  <si>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</si>
  <si>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</si>
  <si>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</si>
  <si>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</si>
  <si>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</si>
  <si>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</si>
  <si>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</si>
  <si>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</si>
  <si>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</si>
  <si>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</si>
  <si>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</si>
  <si>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</si>
  <si>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</si>
  <si>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</si>
  <si>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</si>
  <si>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</si>
  <si>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</si>
  <si>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</si>
  <si>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</si>
  <si>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</si>
  <si>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</si>
  <si>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</si>
  <si>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</si>
  <si>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</si>
  <si>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</si>
  <si>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</si>
  <si>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</si>
  <si>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</si>
  <si>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</si>
  <si>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</si>
  <si>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</si>
  <si>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</si>
  <si>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</si>
  <si>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</si>
  <si>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</si>
  <si>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</si>
  <si>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</si>
  <si>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</si>
  <si>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</si>
  <si>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</si>
  <si>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</si>
  <si>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</si>
  <si>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</si>
  <si>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</si>
  <si>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</si>
  <si>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</si>
  <si>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</si>
  <si>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</si>
  <si>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</si>
  <si>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</si>
  <si>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</si>
  <si>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</si>
  <si>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</si>
  <si>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</si>
  <si>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</si>
  <si>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</si>
  <si>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</si>
  <si>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</si>
  <si>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</si>
  <si>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</si>
  <si>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</si>
  <si>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</si>
  <si>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</si>
  <si>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</si>
  <si>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</si>
  <si>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</si>
  <si>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</si>
  <si>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</si>
  <si>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</si>
  <si>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</si>
  <si>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</si>
  <si>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</si>
  <si>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</si>
  <si>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</si>
  <si>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</si>
  <si>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</si>
  <si>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</si>
  <si>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</si>
  <si>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</si>
  <si>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</si>
  <si>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</si>
  <si>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</si>
  <si>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</si>
  <si>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</si>
  <si>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</si>
  <si>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</si>
  <si>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</si>
  <si>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</si>
  <si>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</si>
  <si>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</si>
  <si>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</si>
  <si>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</si>
  <si>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</si>
  <si>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</si>
  <si>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</si>
  <si>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</si>
  <si>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</si>
  <si>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</si>
  <si>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</si>
  <si>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</si>
  <si>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</si>
  <si>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</si>
  <si>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</si>
  <si>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</si>
  <si>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</si>
  <si>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</si>
  <si>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</si>
  <si>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</si>
  <si>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</si>
  <si>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</si>
  <si>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</si>
  <si>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</si>
  <si>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</si>
  <si>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</si>
  <si>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</si>
  <si>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</si>
  <si>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</si>
  <si>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</si>
  <si>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</si>
  <si>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</si>
  <si>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</si>
  <si>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</si>
  <si>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</si>
  <si>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</si>
  <si>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</si>
  <si>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</si>
  <si>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</si>
  <si>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</si>
  <si>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</si>
  <si>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</si>
  <si>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</si>
  <si>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</si>
  <si>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</si>
  <si>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</si>
  <si>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</si>
  <si>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</si>
  <si>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</si>
  <si>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</si>
  <si>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</si>
  <si>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</si>
  <si>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</si>
  <si>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</si>
  <si>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</si>
  <si>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</si>
  <si>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</si>
  <si>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</si>
  <si>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</si>
  <si>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</si>
  <si>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</si>
  <si>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</si>
  <si>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</si>
  <si>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</si>
  <si>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</si>
  <si>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</si>
  <si>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</si>
  <si>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</si>
  <si>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</si>
  <si>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</si>
  <si>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</si>
  <si>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</si>
  <si>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</si>
  <si>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</si>
  <si>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</si>
  <si>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</si>
  <si>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</si>
  <si>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</si>
  <si>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</si>
  <si>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</si>
  <si>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</si>
  <si>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</si>
  <si>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</si>
  <si>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</si>
  <si>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</si>
  <si>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</si>
  <si>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</si>
  <si>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</si>
  <si>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</si>
  <si>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</si>
  <si>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</si>
  <si>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</si>
  <si>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</si>
  <si>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</si>
  <si>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</si>
  <si>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</si>
  <si>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</si>
  <si>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</si>
  <si>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</si>
  <si>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</si>
  <si>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</si>
  <si>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</si>
  <si>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</si>
  <si>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</si>
  <si>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</si>
  <si>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</si>
  <si>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</si>
  <si>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</si>
  <si>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</si>
  <si>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</si>
  <si>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</si>
  <si>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</si>
  <si>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</si>
  <si>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</si>
  <si>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</si>
  <si>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</si>
  <si>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</si>
  <si>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</si>
  <si>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</si>
  <si>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</si>
  <si>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</si>
  <si>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</si>
  <si>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</si>
  <si>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</si>
  <si>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</si>
  <si>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</si>
  <si>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</si>
  <si>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</si>
  <si>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</si>
  <si>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</si>
  <si>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</si>
  <si>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</si>
  <si>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</si>
  <si>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</si>
  <si>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</si>
  <si>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</si>
  <si>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</si>
  <si>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</si>
  <si>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</si>
  <si>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</si>
  <si>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</si>
  <si>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</si>
  <si>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</si>
  <si>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</si>
  <si>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</si>
  <si>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</si>
  <si>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</si>
  <si>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</si>
  <si>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</si>
  <si>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</si>
  <si>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</si>
  <si>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</si>
  <si>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</si>
  <si>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</si>
  <si>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</si>
  <si>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</si>
  <si>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</si>
  <si>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</si>
  <si>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</si>
  <si>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</si>
  <si>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</si>
  <si>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</si>
  <si>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</si>
  <si>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</si>
  <si>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</si>
  <si>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</si>
  <si>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</si>
  <si>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</si>
  <si>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</si>
  <si>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</si>
  <si>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</si>
  <si>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</si>
  <si>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</si>
  <si>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</si>
  <si>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</si>
  <si>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</si>
  <si>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</si>
  <si>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</si>
  <si>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</si>
  <si>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</si>
  <si>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</si>
  <si>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</si>
  <si>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</si>
  <si>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</si>
  <si>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</si>
  <si>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</si>
  <si>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</si>
  <si>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</si>
  <si>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</si>
  <si>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</si>
  <si>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</si>
  <si>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</si>
  <si>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</si>
  <si>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</si>
  <si>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</si>
  <si>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</si>
  <si>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</si>
  <si>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</si>
  <si>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</si>
  <si>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</si>
  <si>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</si>
  <si>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</si>
  <si>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</si>
  <si>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</si>
  <si>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</si>
  <si>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</si>
  <si>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</si>
  <si>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</si>
  <si>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</si>
  <si>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</si>
  <si>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</si>
  <si>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</si>
  <si>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</si>
  <si>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</si>
  <si>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</si>
  <si>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</si>
  <si>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</si>
  <si>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</si>
  <si>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</si>
  <si>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</si>
  <si>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</si>
  <si>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</si>
  <si>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</si>
  <si>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</si>
  <si>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</si>
  <si>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</si>
  <si>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</si>
  <si>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</si>
  <si>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</si>
  <si>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</si>
  <si>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</si>
  <si>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</si>
  <si>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</si>
  <si>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</si>
  <si>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</si>
  <si>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</si>
  <si>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</si>
  <si>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</si>
  <si>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</si>
  <si>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</si>
  <si>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</si>
  <si>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</si>
  <si>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</si>
  <si>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</si>
  <si>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</si>
  <si>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</si>
  <si>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</si>
  <si>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</si>
  <si>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</si>
  <si>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</si>
  <si>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</si>
  <si>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</si>
  <si>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</si>
  <si>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</si>
  <si>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</si>
  <si>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</si>
  <si>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</si>
  <si>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</si>
  <si>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</si>
  <si>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</si>
  <si>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</si>
  <si>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</si>
  <si>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</si>
  <si>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</si>
  <si>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</si>
  <si>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</si>
  <si>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</si>
  <si>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</si>
  <si>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</si>
  <si>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</si>
  <si>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</si>
  <si>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</si>
  <si>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</si>
  <si>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</si>
  <si>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</si>
  <si>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</si>
  <si>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</si>
  <si>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</si>
  <si>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</si>
  <si>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</si>
  <si>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</si>
  <si>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</si>
  <si>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</si>
  <si>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</si>
  <si>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</si>
  <si>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</si>
  <si>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</si>
  <si>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</si>
  <si>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</si>
  <si>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</si>
  <si>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</si>
  <si>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</si>
  <si>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</si>
  <si>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</si>
  <si>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</si>
  <si>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</si>
  <si>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</si>
  <si>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</si>
  <si>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</si>
  <si>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</si>
  <si>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</si>
  <si>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</si>
  <si>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</si>
  <si>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</si>
  <si>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</si>
  <si>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</si>
  <si>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</si>
  <si>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</si>
  <si>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</si>
  <si>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</si>
  <si>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</si>
  <si>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</si>
  <si>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</si>
  <si>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</si>
  <si>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</si>
  <si>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</si>
  <si>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</si>
  <si>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</si>
  <si>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</si>
  <si>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</si>
  <si>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</si>
  <si>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</si>
  <si>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</si>
  <si>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</si>
  <si>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</si>
  <si>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</si>
  <si>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</si>
  <si>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</si>
  <si>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</si>
  <si>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</si>
  <si>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</si>
  <si>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</si>
  <si>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</si>
  <si>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</si>
  <si>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</si>
  <si>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</si>
  <si>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</si>
  <si>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</si>
  <si>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</si>
  <si>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</si>
  <si>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</si>
  <si>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</si>
  <si>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</si>
  <si>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</si>
  <si>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</si>
  <si>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</si>
  <si>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</si>
  <si>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</si>
  <si>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</si>
  <si>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</si>
  <si>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</si>
  <si>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</si>
  <si>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</si>
  <si>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</si>
  <si>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</si>
  <si>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</si>
  <si>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</si>
  <si>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</si>
  <si>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</si>
  <si>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</si>
  <si>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</si>
  <si>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</si>
  <si>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</si>
  <si>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</si>
  <si>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</si>
  <si>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</si>
  <si>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</si>
  <si>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</si>
  <si>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</si>
  <si>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</si>
  <si>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</si>
  <si>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</si>
  <si>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</si>
  <si>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</si>
  <si>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</si>
  <si>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</si>
  <si>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</si>
  <si>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</si>
  <si>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</si>
  <si>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</si>
  <si>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</si>
  <si>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</si>
  <si>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</si>
  <si>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</si>
  <si>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</si>
  <si>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</si>
  <si>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</si>
  <si>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</si>
  <si>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</si>
  <si>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</si>
  <si>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</si>
  <si>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</si>
  <si>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</si>
  <si>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</si>
  <si>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</si>
  <si>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</si>
  <si>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</si>
  <si>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</si>
  <si>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</si>
  <si>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</si>
  <si>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</si>
  <si>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</si>
  <si>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</si>
  <si>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</si>
  <si>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</si>
  <si>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</si>
  <si>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</si>
  <si>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</si>
  <si>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</si>
  <si>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</si>
  <si>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</si>
  <si>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</si>
  <si>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</si>
  <si>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</si>
  <si>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</si>
  <si>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</si>
  <si>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</si>
  <si>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</si>
  <si>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</si>
  <si>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</si>
  <si>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</si>
  <si>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</si>
  <si>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</si>
  <si>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</si>
  <si>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</si>
  <si>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</si>
  <si>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</si>
  <si>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</si>
  <si>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</si>
  <si>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</si>
  <si>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</si>
  <si>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</si>
  <si>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</si>
  <si>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</si>
  <si>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</si>
  <si>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</si>
  <si>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</si>
  <si>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</si>
  <si>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</si>
  <si>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</si>
  <si>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</si>
  <si>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</si>
  <si>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</si>
  <si>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</si>
  <si>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</si>
  <si>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</si>
  <si>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</si>
  <si>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</si>
  <si>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</si>
  <si>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</si>
  <si>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</si>
  <si>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</si>
  <si>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</si>
  <si>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</si>
  <si>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</si>
  <si>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</si>
  <si>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</si>
  <si>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</si>
  <si>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</si>
  <si>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</si>
  <si>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</si>
  <si>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</si>
  <si>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</si>
  <si>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</si>
  <si>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</si>
  <si>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</si>
  <si>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</si>
  <si>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</si>
  <si>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</si>
  <si>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</si>
  <si>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</si>
  <si>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</si>
  <si>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</si>
  <si>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</si>
  <si>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</si>
  <si>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</si>
  <si>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</si>
  <si>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</si>
  <si>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</si>
  <si>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</si>
  <si>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</si>
  <si>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</si>
  <si>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</si>
  <si>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</si>
  <si>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</si>
  <si>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</si>
  <si>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</si>
  <si>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</si>
  <si>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</si>
  <si>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</si>
  <si>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</si>
  <si>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</si>
  <si>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</si>
  <si>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</si>
  <si>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</si>
  <si>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</si>
  <si>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</si>
  <si>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</si>
  <si>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</si>
  <si>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</si>
  <si>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</si>
  <si>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</si>
  <si>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</si>
  <si>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</si>
  <si>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</si>
  <si>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</si>
  <si>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</si>
  <si>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</si>
  <si>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</si>
  <si>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</si>
  <si>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</si>
  <si>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</si>
  <si>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</si>
  <si>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</si>
  <si>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</si>
  <si>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</si>
  <si>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</si>
  <si>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</si>
  <si>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</si>
  <si>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</si>
  <si>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</si>
  <si>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</si>
  <si>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</si>
  <si>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</si>
  <si>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</si>
  <si>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</si>
  <si>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</si>
  <si>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</si>
  <si>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</si>
  <si>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</si>
  <si>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</si>
  <si>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</si>
  <si>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</si>
  <si>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</si>
  <si>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</si>
  <si>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</si>
  <si>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</si>
  <si>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</si>
  <si>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</si>
  <si>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</si>
  <si>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</si>
  <si>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</si>
  <si>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</si>
  <si>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</si>
  <si>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</si>
  <si>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</si>
  <si>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</si>
  <si>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</si>
  <si>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</si>
  <si>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</si>
  <si>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</si>
  <si>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</si>
  <si>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</si>
  <si>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</si>
  <si>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</si>
  <si>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</si>
  <si>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</si>
  <si>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</si>
  <si>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</si>
  <si>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</si>
  <si>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</si>
  <si>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</si>
  <si>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</si>
  <si>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</si>
  <si>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</si>
  <si>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</si>
  <si>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</si>
  <si>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</si>
  <si>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</si>
  <si>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</si>
  <si>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</si>
  <si>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</si>
  <si>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</si>
  <si>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</si>
  <si>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</si>
  <si>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</si>
  <si>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</si>
  <si>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</si>
  <si>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</si>
  <si>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</si>
  <si>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</si>
  <si>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</si>
  <si>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</si>
  <si>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</si>
  <si>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</si>
  <si>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</si>
  <si>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</si>
  <si>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</si>
  <si>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</si>
  <si>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</si>
  <si>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</si>
  <si>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</si>
  <si>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</si>
  <si>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</si>
  <si>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</si>
  <si>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</si>
  <si>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</si>
  <si>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</si>
  <si>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</si>
  <si>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</si>
  <si>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</si>
  <si>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</si>
  <si>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</si>
  <si>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</si>
  <si>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</si>
  <si>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</si>
  <si>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</si>
  <si>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</si>
  <si>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</si>
  <si>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</si>
  <si>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</si>
  <si>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</si>
  <si>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</si>
  <si>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</si>
  <si>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</si>
  <si>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</si>
  <si>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</si>
  <si>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</si>
  <si>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</si>
  <si>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</si>
  <si>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</si>
  <si>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</si>
  <si>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</si>
  <si>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</si>
  <si>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</si>
  <si>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</si>
  <si>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</si>
  <si>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</si>
  <si>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</si>
  <si>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</si>
  <si>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</si>
  <si>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</si>
  <si>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</si>
  <si>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</si>
  <si>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</si>
  <si>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</si>
  <si>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</si>
  <si>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</si>
  <si>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</si>
  <si>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</si>
  <si>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</si>
  <si>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</si>
  <si>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</si>
  <si>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</si>
  <si>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</si>
  <si>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</si>
  <si>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</si>
  <si>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</si>
  <si>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</si>
  <si>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</si>
  <si>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</si>
  <si>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</si>
  <si>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</si>
  <si>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</si>
  <si>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</si>
  <si>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</si>
  <si>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</si>
  <si>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</si>
  <si>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</si>
  <si>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</si>
  <si>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</si>
  <si>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</si>
  <si>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</si>
  <si>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</si>
  <si>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</si>
  <si>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</si>
  <si>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</si>
  <si>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</si>
  <si>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</si>
  <si>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</si>
  <si>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</si>
  <si>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</si>
  <si>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</si>
  <si>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</si>
  <si>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</si>
  <si>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</si>
  <si>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</si>
  <si>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</si>
  <si>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</si>
  <si>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</si>
  <si>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</si>
  <si>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</si>
  <si>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</si>
  <si>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</si>
  <si>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</si>
  <si>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</si>
  <si>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</si>
  <si>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</si>
  <si>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</si>
  <si>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</si>
  <si>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</si>
  <si>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</si>
  <si>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</si>
  <si>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</si>
  <si>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</si>
  <si>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</si>
  <si>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</si>
  <si>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</si>
  <si>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</si>
  <si>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</si>
  <si>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</si>
  <si>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</si>
  <si>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</si>
  <si>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</si>
  <si>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</si>
  <si>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</si>
  <si>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</si>
  <si>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</si>
  <si>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</si>
  <si>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</si>
  <si>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</si>
  <si>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</si>
  <si>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</si>
  <si>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</si>
  <si>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</si>
  <si>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</si>
  <si>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</si>
  <si>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</si>
  <si>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</si>
  <si>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</si>
  <si>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</si>
  <si>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</si>
  <si>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</si>
  <si>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</si>
  <si>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</si>
  <si>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</si>
  <si>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</si>
  <si>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</si>
  <si>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</si>
  <si>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</si>
  <si>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</si>
  <si>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</si>
  <si>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</si>
  <si>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</si>
  <si>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</si>
  <si>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</si>
  <si>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</si>
  <si>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</si>
  <si>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</si>
  <si>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</si>
  <si>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</si>
  <si>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</si>
  <si>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</si>
  <si>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</si>
  <si>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</si>
  <si>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</si>
  <si>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</si>
  <si>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</si>
  <si>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</si>
  <si>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</si>
  <si>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</si>
  <si>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</si>
  <si>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</si>
  <si>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</si>
  <si>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</si>
  <si>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</si>
  <si>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</si>
  <si>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</si>
  <si>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</si>
  <si>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</si>
  <si>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</si>
  <si>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</si>
  <si>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</si>
  <si>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</si>
  <si>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</si>
  <si>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</si>
  <si>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</si>
  <si>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</si>
  <si>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</si>
  <si>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</si>
  <si>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</si>
  <si>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</si>
  <si>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</si>
  <si>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</si>
  <si>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</si>
  <si>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</si>
  <si>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</si>
  <si>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</si>
  <si>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</si>
  <si>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</si>
  <si>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</si>
  <si>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</si>
  <si>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</si>
  <si>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</si>
  <si>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</si>
  <si>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</si>
  <si>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</si>
  <si>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</si>
  <si>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</si>
  <si>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</si>
  <si>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</si>
  <si>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</si>
  <si>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</si>
  <si>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</si>
  <si>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</si>
  <si>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</si>
  <si>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</si>
  <si>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</si>
  <si>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</si>
  <si>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</si>
  <si>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</si>
  <si>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</si>
  <si>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</si>
  <si>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</si>
  <si>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</si>
  <si>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</si>
  <si>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</si>
  <si>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</si>
  <si>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</si>
  <si>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</si>
  <si>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</si>
  <si>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</si>
  <si>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</si>
  <si>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</si>
  <si>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</si>
  <si>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</si>
  <si>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</si>
  <si>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</si>
  <si>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</si>
  <si>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</si>
  <si>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</si>
  <si>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</si>
  <si>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</si>
  <si>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</si>
  <si>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</si>
  <si>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</si>
  <si>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</si>
  <si>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</si>
  <si>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</si>
  <si>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</si>
  <si>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</si>
  <si>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</si>
  <si>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</si>
  <si>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</si>
  <si>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</si>
  <si>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</si>
  <si>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</si>
  <si>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</si>
  <si>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</si>
  <si>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</si>
  <si>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</si>
  <si>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</si>
  <si>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</si>
  <si>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</si>
  <si>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</si>
  <si>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</si>
  <si>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</si>
  <si>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</si>
  <si>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</si>
  <si>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</si>
  <si>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</si>
  <si>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</si>
  <si>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</si>
  <si>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</si>
  <si>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</si>
  <si>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</si>
  <si>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</si>
  <si>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</si>
  <si>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</si>
  <si>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</si>
  <si>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</si>
  <si>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</si>
  <si>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</si>
  <si>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</si>
  <si>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</si>
  <si>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</si>
  <si>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</si>
  <si>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</si>
  <si>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</si>
  <si>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</si>
  <si>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</si>
  <si>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</si>
  <si>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</si>
  <si>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</si>
  <si>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</si>
  <si>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</si>
  <si>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</si>
  <si>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</si>
  <si>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</si>
  <si>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</si>
  <si>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</si>
  <si>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</si>
  <si>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</si>
  <si>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</si>
  <si>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</si>
  <si>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</si>
  <si>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</si>
  <si>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</si>
  <si>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</si>
  <si>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</si>
  <si>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</si>
  <si>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</si>
  <si>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</si>
  <si>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</si>
  <si>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</si>
  <si>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</si>
  <si>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</si>
  <si>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</si>
  <si>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</si>
  <si>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</si>
  <si>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</si>
  <si>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</si>
  <si>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</si>
  <si>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</si>
  <si>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</si>
  <si>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</si>
  <si>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</si>
  <si>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</si>
  <si>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</si>
  <si>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</si>
  <si>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</si>
  <si>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</si>
  <si>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</si>
  <si>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</si>
  <si>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</si>
  <si>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</si>
  <si>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</si>
  <si>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</si>
  <si>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</si>
  <si>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</si>
  <si>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</si>
  <si>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</si>
  <si>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</si>
  <si>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</si>
  <si>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</si>
  <si>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</si>
  <si>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</si>
  <si>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</si>
  <si>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</si>
  <si>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</si>
  <si>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</si>
  <si>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</si>
  <si>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</si>
  <si>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</si>
  <si>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</si>
  <si>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</si>
  <si>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</si>
  <si>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</si>
  <si>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</si>
  <si>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</si>
  <si>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</si>
  <si>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</si>
  <si>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</si>
  <si>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</si>
  <si>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</si>
  <si>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</si>
  <si>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</si>
  <si>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</si>
  <si>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</si>
  <si>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</si>
  <si>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</si>
  <si>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</si>
  <si>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</si>
  <si>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</si>
  <si>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</si>
  <si>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</si>
  <si>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</si>
  <si>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</si>
  <si>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</si>
  <si>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</si>
  <si>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</si>
  <si>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</si>
  <si>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</si>
  <si>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</si>
  <si>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</si>
  <si>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</si>
  <si>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</si>
  <si>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</si>
  <si>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</si>
  <si>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</si>
  <si>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</si>
  <si>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</si>
  <si>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</si>
  <si>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</si>
  <si>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</si>
  <si>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</si>
  <si>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</si>
  <si>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</si>
  <si>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</si>
  <si>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</si>
  <si>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</si>
  <si>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</si>
  <si>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</si>
  <si>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</si>
  <si>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</si>
  <si>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</si>
  <si>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</si>
  <si>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</si>
  <si>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</si>
  <si>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</si>
  <si>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</si>
  <si>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</si>
  <si>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</si>
  <si>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</si>
  <si>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</si>
  <si>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</si>
  <si>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</si>
  <si>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</si>
  <si>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</si>
  <si>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</si>
  <si>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</si>
  <si>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</si>
  <si>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</si>
  <si>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</si>
  <si>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</si>
  <si>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</si>
  <si>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</si>
  <si>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</si>
  <si>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</si>
  <si>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</si>
  <si>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</si>
  <si>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</si>
  <si>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</si>
  <si>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</si>
  <si>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</si>
  <si>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</si>
  <si>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</si>
  <si>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</si>
  <si>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</si>
  <si>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</si>
  <si>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</si>
  <si>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</si>
  <si>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</si>
  <si>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</si>
  <si>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</si>
  <si>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</si>
  <si>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</si>
  <si>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</si>
  <si>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</si>
  <si>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</si>
  <si>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</si>
  <si>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</si>
  <si>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</si>
  <si>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</si>
  <si>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</si>
  <si>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</si>
  <si>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</si>
  <si>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</si>
  <si>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</si>
  <si>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</si>
  <si>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</si>
  <si>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</si>
  <si>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</si>
  <si>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</si>
  <si>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</si>
  <si>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</si>
  <si>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</si>
  <si>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</si>
  <si>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</si>
  <si>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</si>
  <si>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</si>
  <si>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</si>
  <si>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</si>
  <si>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</si>
  <si>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</si>
  <si>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</si>
  <si>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</si>
  <si>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</si>
  <si>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</si>
  <si>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</si>
  <si>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</si>
  <si>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</si>
  <si>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</si>
  <si>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</si>
  <si>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</si>
  <si>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</si>
  <si>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</si>
  <si>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</si>
  <si>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</si>
  <si>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</si>
  <si>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</si>
  <si>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</si>
  <si>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</si>
  <si>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</si>
  <si>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</si>
  <si>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</si>
  <si>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</si>
  <si>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</si>
  <si>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</si>
  <si>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</si>
  <si>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</si>
  <si>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</si>
  <si>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</si>
  <si>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</si>
  <si>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</si>
  <si>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</si>
  <si>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</si>
  <si>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</si>
  <si>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</si>
  <si>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</si>
  <si>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</si>
  <si>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</si>
  <si>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</si>
  <si>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</si>
  <si>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</si>
  <si>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</si>
  <si>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</si>
  <si>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</si>
  <si>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</si>
  <si>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</si>
  <si>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</si>
  <si>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</si>
  <si>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</si>
  <si>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</si>
  <si>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</si>
  <si>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</si>
  <si>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</si>
  <si>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</si>
  <si>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</si>
  <si>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</si>
  <si>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</si>
  <si>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</si>
  <si>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</si>
  <si>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</si>
  <si>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</si>
  <si>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</si>
  <si>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</si>
  <si>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</si>
  <si>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</si>
  <si>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</si>
  <si>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</si>
  <si>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</si>
  <si>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</si>
  <si>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</si>
  <si>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</si>
  <si>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</si>
  <si>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</si>
  <si>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</si>
  <si>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</si>
  <si>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</si>
  <si>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</si>
  <si>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</si>
  <si>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</si>
  <si>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</si>
  <si>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</si>
  <si>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</si>
  <si>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</si>
  <si>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</si>
  <si>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</si>
  <si>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</si>
  <si>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</si>
  <si>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</si>
  <si>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</si>
  <si>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</si>
  <si>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</si>
  <si>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</si>
  <si>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</si>
  <si>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</si>
  <si>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</si>
  <si>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</si>
  <si>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</si>
  <si>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</si>
  <si>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</si>
  <si>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</si>
  <si>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</si>
  <si>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</si>
  <si>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</si>
  <si>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</si>
  <si>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</si>
  <si>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</si>
  <si>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</si>
  <si>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</si>
  <si>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</si>
  <si>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</si>
  <si>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</si>
  <si>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</si>
  <si>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</si>
  <si>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</si>
  <si>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</si>
  <si>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</si>
  <si>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</si>
  <si>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</si>
  <si>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</si>
  <si>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</si>
  <si>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</si>
  <si>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</si>
  <si>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</si>
  <si>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</si>
  <si>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</si>
  <si>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</si>
  <si>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</si>
  <si>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</si>
  <si>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</si>
  <si>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</si>
  <si>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</si>
  <si>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</si>
  <si>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</si>
  <si>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</si>
  <si>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</si>
  <si>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</si>
  <si>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</si>
  <si>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</si>
  <si>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</si>
  <si>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</si>
  <si>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</si>
  <si>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</si>
  <si>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</si>
  <si>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</si>
  <si>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</si>
  <si>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</si>
  <si>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</si>
  <si>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</si>
  <si>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</si>
  <si>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</si>
  <si>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</si>
  <si>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</si>
  <si>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</si>
  <si>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</si>
  <si>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</si>
  <si>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</si>
  <si>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</si>
  <si>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</si>
  <si>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</si>
  <si>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</si>
  <si>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</si>
  <si>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</si>
  <si>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</si>
  <si>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</si>
  <si>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</si>
  <si>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</si>
  <si>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</si>
  <si>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</si>
  <si>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</si>
  <si>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</si>
  <si>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</si>
  <si>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</si>
  <si>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</si>
  <si>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</si>
  <si>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</si>
  <si>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</si>
  <si>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</si>
  <si>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</si>
  <si>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</si>
  <si>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</si>
  <si>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</si>
  <si>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</si>
  <si>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</si>
  <si>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</si>
  <si>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</si>
  <si>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</si>
  <si>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</si>
  <si>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</si>
  <si>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</si>
  <si>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</si>
  <si>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</si>
  <si>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</si>
  <si>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</si>
  <si>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</si>
  <si>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</si>
  <si>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</si>
  <si>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</si>
  <si>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</si>
  <si>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</si>
  <si>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</si>
  <si>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</si>
  <si>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</si>
  <si>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</si>
  <si>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</si>
  <si>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</si>
  <si>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</si>
  <si>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</si>
  <si>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</si>
  <si>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</si>
  <si>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</si>
  <si>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</si>
  <si>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</si>
  <si>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</si>
  <si>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</si>
  <si>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</si>
  <si>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</si>
  <si>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</si>
  <si>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</si>
  <si>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</si>
  <si>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</si>
  <si>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</si>
  <si>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</si>
  <si>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</si>
  <si>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</si>
  <si>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</si>
  <si>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</si>
  <si>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</si>
  <si>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</si>
  <si>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</si>
  <si>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</si>
  <si>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</si>
  <si>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</si>
  <si>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</si>
  <si>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</si>
  <si>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</si>
  <si>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</si>
  <si>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</si>
  <si>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</si>
  <si>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</si>
  <si>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</si>
  <si>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</si>
  <si>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</si>
  <si>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</si>
  <si>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</si>
  <si>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</si>
  <si>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</si>
  <si>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</si>
  <si>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</si>
  <si>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</si>
  <si>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</si>
  <si>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</si>
  <si>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</si>
  <si>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</si>
  <si>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</si>
  <si>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</si>
  <si>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</si>
  <si>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</si>
  <si>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</si>
  <si>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</si>
  <si>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</si>
  <si>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</si>
  <si>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</si>
  <si>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</si>
  <si>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</si>
  <si>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</si>
  <si>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</si>
  <si>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</si>
  <si>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</si>
  <si>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</si>
  <si>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</si>
  <si>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</si>
  <si>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</si>
  <si>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</si>
  <si>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</si>
  <si>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</si>
  <si>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</si>
  <si>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</si>
  <si>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</si>
  <si>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</si>
  <si>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</si>
  <si>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</si>
  <si>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</si>
  <si>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</si>
  <si>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</si>
  <si>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</si>
  <si>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</si>
  <si>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</si>
  <si>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</si>
  <si>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</si>
  <si>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</si>
  <si>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</si>
  <si>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</si>
  <si>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</si>
  <si>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</si>
  <si>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</si>
  <si>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</si>
  <si>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</si>
  <si>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</si>
  <si>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</si>
  <si>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</si>
  <si>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</si>
  <si>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</si>
  <si>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</si>
  <si>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</si>
  <si>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</si>
  <si>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</si>
  <si>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</si>
  <si>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</si>
  <si>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</si>
  <si>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</si>
  <si>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</si>
  <si>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</si>
  <si>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</si>
  <si>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</si>
  <si>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</si>
  <si>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</si>
  <si>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</si>
  <si>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</si>
  <si>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</si>
  <si>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</si>
  <si>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</si>
  <si>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</si>
  <si>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</si>
  <si>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</si>
  <si>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</si>
  <si>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</si>
  <si>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</si>
  <si>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</si>
  <si>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</si>
  <si>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</si>
  <si>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</si>
  <si>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</si>
  <si>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</si>
  <si>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</si>
  <si>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</si>
  <si>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</si>
  <si>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</si>
  <si>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</si>
  <si>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</si>
  <si>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</si>
  <si>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</si>
  <si>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</si>
  <si>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</si>
  <si>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</si>
  <si>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</si>
  <si>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</si>
  <si>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</si>
  <si>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</si>
  <si>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</si>
  <si>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</si>
  <si>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</si>
  <si>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</si>
  <si>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</si>
  <si>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</si>
  <si>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</si>
  <si>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</si>
  <si>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</si>
  <si>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</si>
  <si>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</si>
  <si>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</si>
  <si>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</si>
  <si>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</si>
  <si>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</si>
  <si>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</si>
  <si>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</si>
  <si>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</si>
  <si>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</si>
  <si>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</si>
  <si>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</si>
  <si>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</si>
  <si>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</si>
  <si>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</si>
  <si>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</si>
  <si>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</si>
  <si>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</si>
  <si>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</si>
  <si>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</si>
  <si>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</si>
  <si>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</si>
  <si>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</si>
  <si>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</si>
  <si>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</si>
  <si>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</si>
  <si>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</si>
  <si>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</si>
  <si>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</si>
  <si>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</si>
  <si>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</si>
  <si>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</si>
  <si>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</si>
  <si>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</si>
  <si>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</si>
  <si>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</si>
  <si>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</si>
  <si>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</si>
  <si>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</si>
  <si>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</si>
  <si>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</si>
  <si>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</si>
  <si>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</si>
  <si>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</si>
  <si>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</si>
  <si>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</si>
  <si>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</si>
  <si>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</si>
  <si>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</si>
  <si>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</si>
  <si>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</si>
  <si>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</si>
  <si>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</si>
  <si>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</si>
  <si>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</si>
  <si>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</si>
  <si>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</si>
  <si>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</si>
  <si>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</si>
  <si>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</si>
  <si>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</si>
  <si>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</si>
  <si>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</si>
  <si>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</si>
  <si>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</si>
  <si>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</si>
  <si>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</si>
  <si>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</si>
  <si>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</si>
  <si>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</si>
  <si>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</si>
  <si>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</si>
  <si>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</si>
  <si>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</si>
  <si>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</si>
  <si>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</si>
  <si>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</si>
  <si>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</si>
  <si>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</si>
  <si>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</si>
  <si>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</si>
  <si>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</si>
  <si>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</si>
  <si>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</si>
  <si>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</si>
  <si>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</si>
  <si>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</si>
  <si>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</si>
  <si>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</si>
  <si>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</si>
  <si>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</si>
  <si>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</si>
  <si>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</si>
  <si>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</si>
  <si>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</si>
  <si>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</si>
  <si>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</si>
  <si>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</si>
  <si>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</si>
  <si>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</si>
  <si>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</si>
  <si>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</si>
  <si>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</si>
  <si>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</si>
  <si>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</si>
  <si>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</si>
  <si>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</si>
  <si>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</si>
  <si>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</si>
  <si>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</si>
  <si>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</si>
  <si>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</si>
  <si>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</si>
  <si>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</si>
  <si>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</si>
  <si>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</si>
  <si>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</si>
  <si>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</si>
  <si>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</si>
  <si>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</si>
  <si>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</si>
  <si>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</si>
  <si>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</si>
  <si>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</si>
  <si>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</si>
  <si>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</si>
  <si>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</si>
  <si>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</si>
  <si>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</si>
  <si>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</si>
  <si>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</si>
  <si>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</si>
  <si>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</si>
  <si>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</si>
  <si>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</si>
  <si>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</si>
  <si>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</si>
  <si>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</si>
  <si>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</si>
  <si>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</si>
  <si>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</si>
  <si>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</si>
  <si>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</si>
  <si>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</si>
  <si>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</si>
  <si>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</si>
  <si>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</si>
  <si>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</si>
  <si>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</si>
  <si>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</si>
  <si>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</si>
  <si>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</si>
  <si>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</si>
  <si>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</si>
  <si>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</si>
  <si>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</si>
  <si>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</si>
  <si>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</si>
  <si>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</si>
  <si>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</si>
  <si>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</si>
  <si>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</si>
  <si>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</si>
  <si>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</si>
  <si>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</si>
  <si>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</si>
  <si>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</si>
  <si>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</si>
  <si>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</si>
  <si>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</si>
  <si>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</si>
  <si>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</si>
  <si>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</si>
  <si>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</si>
  <si>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</si>
  <si>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</si>
  <si>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</si>
  <si>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</si>
  <si>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</si>
  <si>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</si>
  <si>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</si>
  <si>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</si>
  <si>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</si>
  <si>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</si>
  <si>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</si>
  <si>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</si>
  <si>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</si>
  <si>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</si>
  <si>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</si>
  <si>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</si>
  <si>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</si>
  <si>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</si>
  <si>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</si>
  <si>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</si>
  <si>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</si>
  <si>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</si>
  <si>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</si>
  <si>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</si>
  <si>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</si>
  <si>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</si>
  <si>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</si>
  <si>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</si>
  <si>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</si>
  <si>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</si>
  <si>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</si>
  <si>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</si>
  <si>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</si>
  <si>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</si>
  <si>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</si>
  <si>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</si>
  <si>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</si>
  <si>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</si>
  <si>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</si>
  <si>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</si>
  <si>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</si>
  <si>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</si>
  <si>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</si>
  <si>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</si>
  <si>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</si>
  <si>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</si>
  <si>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</si>
  <si>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</si>
  <si>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</si>
  <si>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</si>
  <si>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</si>
  <si>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</si>
  <si>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</si>
  <si>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</si>
  <si>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</si>
  <si>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</si>
  <si>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</si>
  <si>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</si>
  <si>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</si>
  <si>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</si>
  <si>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</si>
  <si>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</si>
  <si>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</si>
  <si>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</si>
  <si>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</si>
  <si>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</si>
  <si>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</si>
  <si>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</si>
  <si>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</si>
  <si>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</si>
  <si>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</si>
  <si>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</si>
  <si>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</si>
  <si>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</si>
  <si>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</si>
  <si>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</si>
  <si>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</si>
  <si>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</si>
  <si>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</si>
  <si>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</si>
  <si>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</si>
  <si>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</si>
  <si>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</si>
  <si>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</si>
  <si>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</si>
  <si>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</si>
  <si>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</si>
  <si>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</si>
  <si>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</si>
  <si>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</si>
  <si>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</si>
  <si>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</si>
  <si>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</si>
  <si>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</si>
  <si>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</si>
  <si>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</si>
  <si>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</si>
  <si>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</si>
  <si>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</si>
  <si>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</si>
  <si>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</si>
  <si>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</si>
  <si>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</si>
  <si>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</si>
  <si>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</si>
  <si>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</si>
  <si>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</si>
  <si>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</si>
  <si>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</si>
  <si>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</si>
  <si>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</si>
  <si>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</si>
  <si>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</si>
  <si>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</si>
  <si>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</si>
  <si>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</si>
  <si>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</si>
  <si>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</si>
  <si>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</si>
  <si>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</si>
  <si>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</si>
  <si>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</si>
  <si>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</si>
  <si>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</si>
  <si>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</si>
  <si>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</si>
  <si>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</si>
  <si>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</si>
  <si>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</si>
  <si>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</si>
  <si>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</si>
  <si>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</si>
  <si>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</si>
  <si>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</si>
  <si>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</si>
  <si>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</si>
  <si>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</si>
  <si>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</si>
  <si>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</si>
  <si>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</si>
  <si>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</si>
  <si>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</si>
  <si>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</si>
  <si>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</si>
  <si>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</si>
  <si>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</si>
  <si>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</si>
  <si>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</si>
  <si>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</si>
  <si>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</si>
  <si>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</si>
  <si>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</si>
  <si>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</si>
  <si>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</si>
  <si>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</si>
  <si>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</si>
  <si>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</si>
  <si>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</si>
  <si>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</si>
  <si>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</si>
  <si>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</si>
  <si>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</si>
  <si>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</si>
  <si>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</si>
  <si>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</si>
  <si>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</si>
  <si>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</si>
  <si>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</si>
  <si>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</si>
  <si>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</si>
  <si>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</si>
  <si>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</si>
  <si>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</si>
  <si>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</si>
  <si>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</si>
  <si>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</si>
  <si>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</si>
  <si>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</si>
  <si>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</si>
  <si>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</si>
  <si>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</si>
  <si>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</si>
  <si>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</si>
  <si>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</si>
  <si>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</si>
  <si>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</si>
  <si>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</si>
  <si>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</si>
  <si>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</si>
  <si>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</si>
  <si>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</si>
  <si>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</si>
  <si>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</si>
  <si>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</si>
  <si>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</si>
  <si>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</si>
  <si>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</si>
  <si>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</si>
  <si>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</si>
  <si>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</si>
  <si>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</si>
  <si>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</si>
  <si>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</si>
  <si>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</si>
  <si>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</si>
  <si>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</si>
  <si>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</si>
  <si>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</si>
  <si>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</si>
  <si>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</si>
  <si>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</si>
  <si>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</si>
  <si>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</si>
  <si>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</si>
  <si>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</si>
  <si>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</si>
  <si>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</si>
  <si>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</si>
  <si>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</si>
  <si>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</si>
  <si>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</si>
  <si>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</si>
  <si>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</si>
  <si>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</si>
  <si>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</si>
  <si>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</si>
  <si>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</si>
  <si>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</si>
  <si>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</si>
  <si>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</si>
  <si>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</si>
  <si>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</si>
  <si>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</si>
  <si>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</si>
  <si>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</si>
  <si>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</si>
  <si>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</si>
  <si>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</si>
  <si>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</si>
  <si>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</si>
  <si>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</si>
  <si>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</si>
  <si>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</si>
  <si>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</si>
  <si>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</si>
  <si>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</si>
  <si>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</si>
  <si>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</si>
  <si>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</si>
  <si>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</si>
  <si>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</si>
  <si>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</si>
  <si>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</si>
  <si>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</si>
  <si>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</si>
  <si>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</si>
  <si>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</si>
  <si>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</si>
  <si>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</si>
  <si>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</si>
  <si>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</si>
  <si>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</si>
  <si>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</si>
  <si>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</si>
  <si>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</si>
  <si>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</si>
  <si>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</si>
  <si>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</si>
  <si>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</si>
  <si>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</si>
  <si>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</si>
  <si>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</si>
  <si>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</si>
  <si>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</si>
  <si>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</si>
  <si>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</si>
  <si>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</si>
  <si>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</si>
  <si>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</si>
  <si>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</si>
  <si>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</si>
  <si>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</si>
  <si>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</si>
  <si>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</si>
  <si>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</si>
  <si>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</si>
  <si>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</si>
  <si>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</si>
  <si>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</si>
  <si>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</si>
  <si>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</si>
  <si>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</si>
  <si>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</si>
  <si>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</si>
  <si>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</si>
  <si>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</si>
  <si>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</si>
  <si>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</si>
  <si>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</si>
  <si>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</si>
  <si>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</si>
  <si>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</si>
  <si>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</si>
  <si>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</si>
  <si>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</si>
  <si>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</si>
  <si>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</si>
  <si>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</si>
  <si>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</si>
  <si>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</si>
  <si>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</si>
  <si>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</si>
  <si>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</si>
  <si>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</si>
  <si>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</si>
  <si>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</si>
  <si>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</si>
  <si>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</si>
  <si>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</si>
  <si>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</si>
  <si>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</si>
  <si>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</si>
  <si>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</si>
  <si>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</si>
  <si>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</si>
  <si>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</si>
  <si>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</si>
  <si>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</si>
  <si>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</si>
  <si>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</si>
  <si>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</si>
  <si>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</si>
  <si>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</si>
  <si>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</si>
  <si>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</si>
  <si>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</si>
  <si>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</si>
  <si>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</si>
  <si>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</si>
  <si>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</si>
  <si>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</si>
  <si>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</si>
  <si>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</si>
  <si>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</si>
  <si>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</si>
  <si>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</si>
  <si>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</si>
  <si>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</si>
  <si>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</si>
  <si>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</si>
  <si>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</si>
  <si>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</si>
  <si>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</si>
  <si>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</si>
  <si>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</si>
  <si>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</si>
  <si>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</si>
  <si>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</si>
  <si>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</si>
  <si>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</si>
  <si>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</si>
  <si>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</si>
  <si>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</si>
  <si>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</si>
  <si>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</si>
  <si>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</si>
  <si>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</si>
  <si>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</si>
  <si>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</si>
  <si>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</si>
  <si>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</si>
  <si>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</si>
  <si>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</si>
  <si>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</si>
  <si>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</si>
  <si>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</si>
  <si>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</si>
  <si>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</si>
  <si>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</si>
  <si>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</si>
  <si>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</si>
  <si>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</si>
  <si>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</si>
  <si>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</si>
  <si>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</si>
  <si>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</si>
  <si>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</si>
  <si>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</si>
  <si>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</si>
  <si>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</si>
  <si>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</si>
  <si>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</si>
  <si>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</si>
  <si>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</si>
  <si>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</si>
  <si>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</si>
  <si>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</si>
  <si>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</si>
  <si>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</si>
  <si>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</si>
  <si>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</si>
  <si>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</si>
  <si>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</si>
  <si>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</si>
  <si>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</si>
  <si>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</si>
  <si>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</si>
  <si>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</si>
  <si>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</si>
  <si>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</si>
  <si>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</si>
  <si>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</si>
  <si>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</si>
  <si>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</si>
  <si>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</si>
  <si>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</si>
  <si>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</si>
  <si>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</si>
  <si>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</si>
  <si>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</si>
  <si>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</si>
  <si>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</si>
  <si>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</si>
  <si>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</si>
  <si>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</si>
  <si>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</si>
  <si>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</si>
  <si>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</si>
  <si>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</si>
  <si>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</si>
  <si>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</si>
  <si>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</si>
  <si>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</si>
  <si>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</si>
  <si>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</si>
  <si>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</si>
  <si>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</si>
  <si>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</si>
  <si>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</si>
  <si>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</si>
  <si>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</si>
  <si>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</si>
  <si>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</si>
  <si>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</si>
  <si>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</si>
  <si>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</si>
  <si>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</si>
  <si>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</si>
  <si>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</si>
  <si>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</si>
  <si>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</si>
  <si>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</si>
  <si>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</si>
  <si>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</si>
  <si>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</si>
  <si>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</si>
  <si>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</si>
  <si>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</si>
  <si>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</si>
  <si>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</si>
  <si>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</si>
  <si>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</si>
  <si>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</si>
  <si>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</si>
  <si>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</si>
  <si>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</si>
  <si>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</si>
  <si>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</si>
  <si>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</si>
  <si>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</si>
  <si>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</si>
  <si>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</si>
  <si>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</si>
  <si>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</si>
  <si>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</si>
  <si>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</si>
  <si>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</si>
  <si>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</si>
  <si>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</si>
  <si>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</si>
  <si>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</si>
  <si>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</si>
  <si>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</si>
  <si>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</si>
  <si>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</si>
  <si>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</si>
  <si>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</si>
  <si>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</si>
  <si>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</si>
  <si>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</si>
  <si>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</si>
  <si>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</si>
  <si>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</si>
  <si>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</si>
  <si>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</si>
  <si>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</si>
  <si>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</si>
  <si>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</si>
  <si>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</si>
  <si>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</si>
  <si>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</si>
  <si>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</si>
  <si>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</si>
  <si>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</si>
  <si>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</si>
  <si>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</si>
  <si>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</si>
  <si>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</si>
  <si>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</si>
  <si>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</si>
  <si>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</si>
  <si>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</si>
  <si>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</si>
  <si>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</si>
  <si>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</si>
  <si>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</si>
  <si>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</si>
  <si>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</si>
  <si>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</si>
  <si>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</si>
  <si>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</si>
  <si>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</si>
  <si>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</si>
  <si>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</si>
  <si>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</si>
  <si>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</si>
  <si>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</si>
  <si>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</si>
  <si>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</si>
  <si>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</si>
  <si>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</si>
  <si>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</si>
  <si>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</si>
  <si>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</si>
  <si>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</si>
  <si>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</si>
  <si>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</si>
  <si>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</si>
  <si>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</si>
  <si>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</si>
  <si>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</si>
  <si>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</si>
  <si>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</si>
  <si>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</si>
  <si>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</si>
  <si>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</si>
  <si>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</si>
  <si>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</si>
  <si>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</si>
  <si>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</si>
  <si>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</si>
  <si>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</si>
  <si>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</si>
  <si>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</si>
  <si>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</si>
  <si>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</si>
  <si>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</si>
  <si>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</si>
  <si>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</si>
  <si>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</si>
  <si>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</si>
  <si>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</si>
  <si>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</si>
  <si>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</si>
  <si>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</si>
  <si>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</si>
  <si>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</si>
  <si>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</si>
  <si>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</si>
  <si>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</si>
  <si>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</si>
  <si>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</si>
  <si>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</si>
  <si>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</si>
  <si>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</si>
  <si>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</si>
  <si>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</si>
  <si>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</si>
  <si>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</si>
  <si>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</si>
  <si>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</si>
  <si>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</si>
  <si>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</si>
  <si>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</si>
  <si>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</si>
  <si>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</si>
  <si>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</si>
  <si>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</si>
  <si>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</si>
  <si>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</si>
  <si>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</si>
  <si>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</si>
  <si>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</si>
  <si>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</si>
  <si>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</si>
  <si>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</si>
  <si>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</si>
  <si>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</si>
  <si>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</si>
  <si>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</si>
  <si>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</si>
  <si>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</si>
  <si>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</si>
  <si>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</si>
  <si>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</si>
  <si>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</si>
  <si>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</si>
  <si>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</si>
  <si>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</si>
  <si>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</si>
  <si>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</si>
  <si>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</si>
  <si>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</si>
  <si>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</si>
  <si>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</si>
  <si>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</si>
  <si>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</si>
  <si>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</si>
  <si>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</si>
  <si>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</si>
  <si>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</si>
  <si>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</si>
  <si>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</si>
  <si>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</si>
  <si>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</si>
  <si>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</si>
  <si>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</si>
  <si>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</si>
  <si>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</si>
  <si>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</si>
  <si>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</si>
  <si>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</si>
  <si>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</si>
  <si>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</si>
  <si>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</si>
  <si>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</si>
  <si>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</si>
  <si>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</si>
  <si>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</si>
  <si>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</si>
  <si>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</si>
  <si>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</si>
  <si>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</si>
  <si>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</si>
  <si>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</si>
  <si>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</si>
  <si>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</si>
  <si>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</si>
  <si>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</si>
  <si>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</si>
  <si>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</si>
  <si>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</si>
  <si>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</si>
  <si>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</si>
  <si>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</si>
  <si>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</si>
  <si>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</si>
  <si>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</si>
  <si>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</si>
  <si>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</si>
  <si>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</si>
  <si>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</si>
  <si>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</si>
  <si>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</si>
  <si>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</si>
  <si>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</si>
  <si>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</si>
  <si>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</si>
  <si>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</si>
  <si>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</si>
  <si>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</si>
  <si>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</si>
  <si>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</si>
  <si>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</si>
  <si>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</si>
  <si>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</si>
  <si>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</si>
  <si>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</si>
  <si>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</si>
  <si>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</si>
  <si>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</si>
  <si>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</si>
  <si>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</si>
  <si>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</si>
  <si>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</si>
  <si>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</si>
  <si>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</si>
  <si>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</si>
  <si>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</si>
  <si>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</si>
  <si>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</si>
  <si>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</si>
  <si>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</si>
  <si>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</si>
  <si>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</si>
  <si>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</si>
  <si>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</si>
  <si>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</si>
  <si>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</si>
  <si>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</si>
  <si>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</si>
  <si>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</si>
  <si>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</si>
  <si>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</si>
  <si>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</si>
  <si>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</si>
  <si>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</si>
  <si>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</si>
  <si>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</si>
  <si>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</si>
  <si>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</si>
  <si>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</si>
  <si>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</si>
  <si>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</si>
  <si>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</si>
  <si>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</si>
  <si>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</si>
  <si>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</si>
  <si>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</si>
  <si>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</si>
  <si>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</si>
  <si>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</si>
  <si>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</si>
  <si>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</si>
  <si>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</si>
  <si>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</si>
  <si>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</si>
  <si>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</si>
  <si>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</si>
  <si>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</si>
  <si>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</si>
  <si>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</si>
  <si>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</si>
  <si>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</si>
  <si>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</si>
  <si>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</si>
  <si>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</si>
  <si>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</si>
  <si>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</si>
  <si>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</si>
  <si>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</si>
  <si>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</si>
  <si>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</si>
  <si>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</si>
  <si>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</si>
  <si>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</si>
  <si>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</si>
  <si>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</si>
  <si>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</si>
  <si>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</si>
  <si>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</si>
  <si>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</si>
  <si>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</si>
  <si>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</si>
  <si>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</si>
  <si>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</si>
  <si>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</si>
  <si>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</si>
  <si>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</si>
  <si>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</si>
  <si>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</si>
  <si>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</si>
  <si>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</si>
  <si>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</si>
  <si>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</si>
  <si>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</si>
  <si>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</si>
  <si>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</si>
  <si>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</si>
  <si>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</si>
  <si>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</si>
  <si>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</si>
  <si>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</si>
  <si>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</si>
  <si>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</si>
  <si>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</si>
  <si>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</si>
  <si>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</si>
  <si>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</si>
  <si>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</si>
  <si>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</si>
  <si>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</si>
  <si>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</si>
  <si>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</si>
  <si>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</si>
  <si>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</si>
  <si>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</si>
  <si>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</si>
  <si>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</si>
  <si>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</si>
  <si>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</si>
  <si>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</si>
  <si>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</si>
  <si>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</si>
  <si>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</si>
  <si>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</si>
  <si>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</si>
  <si>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</si>
  <si>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</si>
  <si>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</si>
  <si>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</si>
  <si>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</si>
  <si>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</si>
  <si>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</si>
  <si>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</si>
  <si>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</si>
  <si>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</si>
  <si>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</si>
  <si>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</si>
  <si>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</si>
  <si>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</si>
  <si>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</si>
  <si>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</si>
  <si>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</si>
  <si>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</si>
  <si>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</si>
  <si>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</si>
  <si>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</si>
  <si>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</si>
  <si>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</si>
  <si>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</si>
  <si>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</si>
  <si>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</si>
  <si>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</si>
  <si>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</si>
  <si>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</si>
  <si>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</si>
  <si>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</si>
  <si>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</si>
  <si>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</si>
  <si>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</si>
  <si>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</si>
  <si>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</si>
  <si>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</si>
  <si>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</si>
  <si>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</si>
  <si>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</si>
  <si>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</si>
  <si>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</si>
  <si>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</si>
  <si>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</si>
  <si>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</si>
  <si>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</si>
  <si>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</si>
  <si>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</si>
  <si>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</si>
  <si>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</si>
  <si>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</si>
  <si>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</si>
  <si>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</si>
  <si>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</si>
  <si>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</si>
  <si>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</si>
  <si>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</si>
  <si>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</si>
  <si>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</si>
  <si>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</si>
  <si>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</si>
  <si>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</si>
  <si>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</si>
  <si>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</si>
  <si>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</si>
  <si>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</si>
  <si>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</si>
  <si>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</si>
  <si>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</si>
  <si>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</si>
  <si>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</si>
  <si>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</si>
  <si>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</si>
  <si>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</si>
  <si>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</si>
  <si>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</si>
  <si>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</si>
  <si>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</si>
  <si>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</si>
  <si>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</si>
  <si>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</si>
  <si>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</si>
  <si>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</si>
  <si>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</si>
  <si>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</si>
  <si>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</si>
  <si>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</si>
  <si>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</si>
  <si>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</si>
  <si>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</si>
  <si>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</si>
  <si>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</si>
  <si>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</si>
  <si>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</si>
  <si>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</si>
  <si>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</si>
  <si>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</si>
  <si>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</si>
  <si>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</si>
  <si>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</si>
  <si>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</si>
  <si>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</si>
  <si>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</si>
  <si>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</si>
  <si>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</si>
  <si>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</si>
  <si>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</si>
  <si>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</si>
  <si>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</si>
  <si>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</si>
  <si>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</si>
  <si>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</si>
  <si>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</si>
  <si>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</si>
  <si>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</si>
  <si>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</si>
  <si>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</si>
  <si>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</si>
  <si>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</si>
  <si>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</si>
  <si>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</si>
  <si>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</si>
  <si>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</si>
  <si>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</si>
  <si>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</si>
  <si>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</si>
  <si>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</si>
  <si>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</si>
  <si>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</si>
  <si>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</si>
  <si>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</si>
  <si>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</si>
  <si>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</si>
  <si>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</si>
  <si>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</si>
  <si>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</si>
  <si>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</si>
  <si>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</si>
  <si>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</si>
  <si>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</si>
  <si>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</si>
  <si>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</si>
  <si>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</si>
  <si>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</si>
  <si>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</si>
  <si>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</si>
  <si>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</si>
  <si>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</si>
  <si>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</si>
  <si>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</si>
  <si>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</si>
  <si>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</si>
  <si>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</si>
  <si>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</si>
  <si>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</si>
  <si>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</si>
  <si>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</si>
  <si>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</si>
  <si>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</si>
  <si>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</si>
  <si>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</si>
  <si>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</si>
  <si>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</si>
  <si>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</si>
  <si>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</si>
  <si>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</si>
  <si>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</si>
  <si>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</si>
  <si>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</si>
  <si>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</si>
  <si>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</si>
  <si>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</si>
  <si>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</si>
  <si>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</si>
  <si>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</si>
  <si>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</si>
  <si>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</si>
  <si>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</si>
  <si>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</si>
  <si>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</si>
  <si>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</si>
  <si>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</si>
  <si>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</si>
  <si>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</si>
  <si>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</si>
  <si>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</si>
  <si>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</si>
  <si>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</si>
  <si>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</si>
  <si>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</si>
  <si>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</si>
  <si>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</si>
  <si>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</si>
  <si>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</si>
  <si>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</si>
  <si>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</si>
  <si>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</si>
  <si>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</si>
  <si>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</si>
  <si>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</si>
  <si>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</si>
  <si>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</si>
  <si>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</si>
  <si>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</si>
  <si>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</si>
  <si>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</si>
  <si>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</si>
  <si>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</si>
  <si>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</si>
  <si>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</si>
  <si>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</si>
  <si>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</si>
  <si>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</si>
  <si>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</si>
  <si>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</si>
  <si>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</si>
  <si>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</si>
  <si>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</si>
  <si>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</si>
  <si>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</si>
  <si>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</si>
  <si>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</si>
  <si>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</si>
  <si>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</si>
  <si>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</si>
  <si>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</si>
  <si>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</si>
  <si>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</si>
  <si>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</si>
  <si>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</si>
  <si>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</si>
  <si>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</si>
  <si>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</si>
  <si>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</si>
  <si>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</si>
  <si>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</si>
  <si>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</si>
  <si>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</si>
  <si>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</si>
  <si>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</si>
  <si>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</si>
  <si>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</si>
  <si>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</si>
  <si>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</si>
  <si>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</si>
  <si>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</si>
  <si>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</si>
  <si>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</si>
  <si>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</si>
  <si>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</si>
  <si>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</si>
  <si>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</si>
  <si>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</si>
  <si>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</si>
  <si>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</si>
  <si>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</si>
  <si>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</si>
  <si>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</si>
  <si>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</si>
  <si>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</si>
  <si>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</si>
  <si>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</si>
  <si>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</si>
  <si>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</si>
  <si>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</si>
  <si>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</si>
  <si>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</si>
  <si>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</si>
  <si>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</si>
  <si>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</si>
  <si>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</si>
  <si>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</si>
  <si>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</si>
  <si>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</si>
  <si>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</si>
  <si>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</si>
  <si>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</si>
  <si>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</si>
  <si>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</si>
  <si>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</si>
  <si>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</si>
  <si>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</si>
  <si>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</si>
  <si>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</si>
  <si>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</si>
  <si>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</si>
  <si>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</si>
  <si>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</si>
  <si>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</si>
  <si>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</si>
  <si>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</si>
  <si>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</si>
  <si>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</si>
  <si>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</si>
  <si>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</si>
  <si>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</si>
  <si>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</si>
  <si>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</si>
  <si>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</si>
  <si>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</si>
  <si>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</si>
  <si>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</si>
  <si>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</si>
  <si>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</si>
  <si>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</si>
  <si>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</si>
  <si>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</si>
  <si>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</si>
  <si>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</si>
  <si>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</si>
  <si>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</si>
  <si>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</si>
  <si>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</si>
  <si>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</si>
  <si>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</si>
  <si>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</si>
  <si>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</si>
  <si>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</si>
  <si>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</si>
  <si>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</si>
  <si>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</si>
  <si>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</si>
  <si>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</si>
  <si>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</si>
  <si>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</si>
  <si>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</si>
  <si>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</si>
  <si>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</si>
  <si>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</si>
  <si>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</si>
  <si>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</si>
  <si>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</si>
  <si>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</si>
  <si>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</si>
  <si>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</si>
  <si>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</si>
  <si>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</si>
  <si>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</si>
  <si>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</si>
  <si>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</si>
  <si>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</si>
  <si>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</si>
  <si>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</si>
  <si>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</si>
  <si>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</si>
  <si>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</si>
  <si>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</si>
  <si>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</si>
  <si>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</si>
  <si>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</si>
  <si>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</si>
  <si>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</si>
  <si>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</si>
  <si>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</si>
  <si>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</si>
  <si>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</si>
  <si>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</si>
  <si>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</si>
  <si>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</si>
  <si>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</si>
  <si>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</si>
  <si>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</si>
  <si>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</si>
  <si>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</si>
  <si>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</si>
  <si>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</si>
  <si>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</si>
  <si>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</si>
  <si>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</si>
  <si>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</si>
  <si>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</si>
  <si>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</si>
  <si>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</si>
  <si>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</si>
  <si>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</si>
  <si>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</si>
  <si>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</si>
  <si>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</si>
  <si>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</si>
  <si>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</si>
  <si>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</si>
  <si>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</si>
  <si>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</si>
  <si>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</si>
  <si>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</si>
  <si>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</si>
  <si>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</si>
  <si>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</si>
  <si>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</si>
  <si>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</si>
  <si>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</si>
  <si>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</si>
  <si>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</si>
  <si>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</si>
  <si>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</si>
  <si>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</si>
  <si>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</si>
  <si>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</si>
  <si>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</si>
  <si>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</si>
  <si>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</si>
  <si>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</si>
  <si>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</si>
  <si>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</si>
  <si>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</si>
  <si>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</si>
  <si>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</si>
  <si>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</si>
  <si>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</si>
  <si>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</si>
  <si>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</si>
  <si>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</si>
  <si>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</si>
  <si>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</si>
  <si>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</si>
  <si>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</si>
  <si>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</si>
  <si>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</si>
  <si>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</si>
  <si>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</si>
  <si>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</si>
  <si>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</si>
  <si>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</si>
  <si>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</si>
  <si>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</si>
  <si>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</si>
  <si>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</si>
  <si>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</si>
  <si>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</si>
  <si>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</si>
  <si>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</si>
  <si>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</si>
  <si>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</si>
  <si>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</si>
  <si>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</si>
  <si>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</si>
  <si>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</si>
  <si>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</si>
  <si>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</si>
  <si>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</si>
  <si>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</si>
  <si>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</si>
  <si>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</si>
  <si>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</si>
  <si>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</si>
  <si>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</si>
  <si>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</si>
  <si>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</si>
  <si>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</si>
  <si>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</si>
  <si>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</si>
  <si>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</si>
  <si>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</si>
  <si>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</si>
  <si>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</si>
  <si>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</si>
  <si>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</si>
  <si>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</si>
  <si>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</si>
  <si>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</si>
  <si>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</si>
  <si>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</si>
  <si>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</si>
  <si>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</si>
  <si>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</si>
  <si>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</si>
  <si>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</si>
  <si>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</si>
  <si>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</si>
  <si>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</si>
  <si>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</si>
  <si>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</si>
  <si>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</si>
  <si>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</si>
  <si>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</si>
  <si>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</si>
  <si>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</si>
  <si>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</si>
  <si>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</si>
  <si>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</si>
  <si>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</si>
  <si>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</si>
  <si>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</si>
  <si>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</si>
  <si>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</si>
  <si>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</si>
  <si>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</si>
  <si>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</si>
  <si>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</si>
  <si>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</si>
  <si>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</si>
  <si>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</si>
  <si>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</si>
  <si>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</si>
  <si>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</si>
  <si>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</si>
  <si>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</si>
  <si>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</si>
  <si>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</si>
  <si>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</si>
  <si>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</si>
  <si>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</si>
  <si>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</si>
  <si>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</si>
  <si>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</si>
  <si>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</si>
  <si>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</si>
  <si>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</si>
  <si>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</si>
  <si>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</si>
  <si>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</si>
  <si>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</si>
  <si>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</si>
  <si>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</si>
  <si>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</si>
  <si>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</si>
  <si>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</si>
  <si>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</si>
  <si>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</si>
  <si>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</si>
  <si>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</si>
  <si>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</si>
  <si>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</si>
  <si>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</si>
  <si>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</si>
  <si>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</si>
  <si>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</si>
  <si>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</si>
  <si>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</si>
  <si>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</si>
  <si>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</si>
  <si>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</si>
  <si>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</si>
  <si>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</si>
  <si>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</si>
  <si>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</si>
  <si>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</si>
  <si>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</si>
  <si>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</si>
  <si>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</si>
  <si>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</si>
  <si>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</si>
  <si>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</si>
  <si>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</si>
  <si>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</si>
  <si>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</si>
  <si>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</si>
  <si>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</si>
  <si>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</si>
  <si>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</si>
  <si>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</si>
  <si>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</si>
  <si>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</si>
  <si>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</si>
  <si>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</si>
  <si>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</si>
  <si>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</si>
  <si>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</si>
  <si>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</si>
  <si>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</si>
  <si>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</si>
  <si>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</si>
  <si>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</si>
  <si>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</si>
  <si>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</si>
  <si>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</si>
  <si>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</si>
  <si>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</si>
  <si>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</si>
  <si>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</si>
  <si>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</si>
  <si>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</si>
  <si>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</si>
  <si>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</si>
  <si>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</si>
  <si>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</si>
  <si>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</si>
  <si>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</si>
  <si>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</si>
  <si>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</si>
  <si>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</si>
  <si>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</si>
  <si>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</si>
  <si>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</si>
  <si>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</si>
  <si>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</si>
  <si>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</si>
  <si>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</si>
  <si>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</si>
  <si>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</si>
  <si>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</si>
  <si>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</si>
  <si>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</si>
  <si>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</si>
  <si>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</si>
  <si>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</si>
  <si>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</si>
  <si>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</si>
  <si>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</si>
  <si>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</si>
  <si>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</si>
  <si>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</si>
  <si>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</si>
  <si>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</si>
  <si>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</si>
  <si>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</si>
  <si>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</si>
  <si>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</si>
  <si>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</si>
  <si>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</si>
  <si>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</si>
  <si>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</si>
  <si>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</si>
  <si>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</si>
  <si>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</si>
  <si>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</si>
  <si>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</si>
  <si>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</si>
  <si>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</si>
  <si>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</si>
  <si>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</si>
  <si>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</si>
  <si>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</si>
  <si>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</si>
  <si>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</si>
  <si>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</si>
  <si>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</si>
  <si>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</si>
  <si>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</si>
  <si>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</si>
  <si>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</si>
  <si>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</si>
  <si>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</si>
  <si>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</si>
  <si>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</si>
  <si>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</si>
  <si>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</si>
  <si>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</si>
  <si>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</si>
  <si>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</si>
  <si>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</si>
  <si>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</si>
  <si>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</si>
  <si>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</si>
  <si>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</si>
  <si>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</si>
  <si>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</si>
  <si>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</si>
  <si>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</si>
  <si>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</si>
  <si>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</si>
  <si>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</si>
  <si>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</si>
  <si>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</si>
  <si>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</si>
  <si>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</si>
  <si>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</si>
  <si>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</si>
  <si>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</si>
  <si>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</si>
  <si>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</si>
  <si>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</si>
  <si>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</si>
  <si>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</si>
  <si>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</si>
  <si>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</si>
  <si>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</si>
  <si>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</si>
  <si>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</si>
  <si>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</si>
  <si>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</si>
  <si>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</si>
  <si>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</si>
  <si>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</si>
  <si>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</si>
  <si>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</si>
  <si>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</si>
  <si>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</si>
  <si>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</si>
  <si>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</si>
  <si>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</si>
  <si>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</si>
  <si>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</si>
  <si>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</si>
  <si>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</si>
  <si>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</si>
  <si>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</si>
  <si>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</si>
  <si>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</si>
  <si>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</si>
  <si>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</si>
  <si>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</si>
  <si>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</si>
  <si>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</si>
  <si>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</si>
  <si>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</si>
  <si>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</si>
  <si>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</si>
  <si>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</si>
  <si>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</si>
  <si>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</si>
  <si>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</si>
  <si>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</si>
  <si>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</si>
  <si>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</si>
  <si>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</si>
  <si>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</si>
  <si>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</si>
  <si>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</si>
  <si>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</si>
  <si>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</si>
  <si>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</si>
  <si>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</si>
  <si>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</si>
  <si>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</si>
  <si>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</si>
  <si>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</si>
  <si>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</si>
  <si>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</si>
  <si>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</si>
  <si>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</si>
  <si>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</si>
  <si>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</si>
  <si>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</si>
  <si>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</si>
  <si>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</si>
  <si>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</si>
  <si>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</si>
  <si>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</si>
  <si>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</si>
  <si>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</si>
  <si>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</si>
  <si>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</si>
  <si>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</si>
  <si>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</si>
  <si>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</si>
  <si>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</si>
  <si>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</si>
  <si>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</si>
  <si>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</si>
  <si>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</si>
  <si>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</si>
  <si>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</si>
  <si>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</si>
  <si>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</si>
  <si>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</si>
  <si>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</si>
  <si>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</si>
  <si>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</si>
  <si>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</si>
  <si>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</si>
  <si>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</si>
  <si>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</si>
  <si>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</si>
  <si>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</si>
  <si>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</si>
  <si>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</si>
  <si>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</si>
  <si>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</si>
  <si>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</si>
  <si>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</si>
  <si>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</si>
  <si>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</si>
  <si>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</si>
  <si>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</si>
  <si>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</si>
  <si>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</si>
  <si>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</si>
  <si>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</si>
  <si>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</si>
  <si>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</si>
  <si>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</si>
  <si>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</si>
  <si>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</si>
  <si>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</si>
  <si>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</si>
  <si>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</si>
  <si>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</si>
  <si>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</si>
  <si>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</si>
  <si>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</si>
  <si>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</si>
  <si>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</si>
  <si>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</si>
  <si>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</si>
  <si>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</si>
  <si>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</si>
  <si>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</si>
  <si>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</si>
  <si>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</si>
  <si>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</si>
  <si>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</si>
  <si>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</si>
  <si>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</si>
  <si>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</si>
  <si>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</si>
  <si>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</si>
  <si>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</si>
  <si>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</si>
  <si>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</si>
  <si>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</si>
  <si>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</si>
  <si>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</si>
  <si>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</si>
  <si>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</si>
  <si>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</si>
  <si>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</si>
  <si>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</si>
  <si>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</si>
  <si>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</si>
  <si>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</si>
  <si>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</si>
  <si>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</si>
  <si>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</si>
  <si>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</si>
  <si>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</si>
  <si>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</si>
  <si>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</si>
  <si>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</si>
  <si>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</si>
  <si>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</si>
  <si>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</si>
  <si>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</si>
  <si>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</si>
  <si>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</si>
  <si>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</si>
  <si>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</si>
  <si>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</si>
  <si>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</si>
  <si>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</si>
  <si>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</si>
  <si>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</si>
  <si>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</si>
  <si>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</si>
  <si>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</si>
  <si>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</si>
  <si>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</si>
  <si>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</si>
  <si>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</si>
  <si>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</si>
  <si>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</si>
  <si>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</si>
  <si>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</si>
  <si>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</si>
  <si>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</si>
  <si>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</si>
  <si>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</si>
  <si>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</si>
  <si>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</si>
  <si>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</si>
  <si>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</si>
  <si>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</si>
  <si>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</si>
  <si>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</si>
  <si>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</si>
  <si>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</si>
  <si>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</si>
  <si>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</si>
  <si>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</si>
  <si>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</si>
  <si>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</si>
  <si>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</si>
  <si>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</si>
  <si>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</si>
  <si>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</si>
  <si>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</si>
  <si>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</si>
  <si>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</si>
  <si>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</si>
  <si>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</si>
  <si>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</si>
  <si>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</si>
  <si>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</si>
  <si>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</si>
  <si>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</si>
  <si>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</si>
  <si>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</si>
  <si>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</si>
  <si>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</si>
  <si>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</si>
  <si>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</si>
  <si>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</si>
  <si>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</si>
  <si>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</si>
  <si>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</si>
  <si>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</si>
  <si>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</si>
  <si>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</si>
  <si>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</si>
  <si>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</si>
  <si>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</si>
  <si>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</si>
  <si>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</si>
  <si>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</si>
  <si>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</si>
  <si>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</si>
  <si>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</si>
  <si>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</si>
  <si>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</si>
  <si>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</si>
  <si>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</si>
  <si>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</si>
  <si>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</si>
  <si>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</si>
  <si>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</si>
  <si>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</si>
  <si>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</si>
  <si>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</si>
  <si>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</si>
  <si>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</si>
  <si>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</si>
  <si>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</si>
  <si>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</si>
  <si>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</si>
  <si>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</si>
  <si>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</si>
  <si>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</si>
  <si>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</si>
  <si>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</si>
  <si>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</si>
  <si>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</si>
  <si>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</si>
  <si>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</si>
  <si>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</si>
  <si>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</si>
  <si>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</si>
  <si>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</si>
  <si>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</si>
  <si>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</si>
  <si>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</si>
  <si>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</si>
  <si>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</si>
  <si>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</si>
  <si>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</si>
  <si>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</si>
  <si>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</si>
  <si>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</si>
  <si>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</si>
  <si>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</si>
  <si>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</si>
  <si>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</si>
  <si>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</si>
  <si>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</si>
  <si>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</si>
  <si>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</si>
  <si>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</si>
  <si>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</si>
  <si>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</si>
  <si>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</si>
  <si>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</si>
  <si>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</si>
  <si>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</si>
  <si>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</si>
  <si>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</si>
  <si>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</si>
  <si>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</si>
  <si>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</si>
  <si>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</si>
  <si>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</si>
  <si>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</si>
  <si>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</si>
  <si>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</si>
  <si>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</si>
  <si>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</si>
  <si>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</si>
  <si>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</si>
  <si>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</si>
  <si>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</si>
  <si>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</si>
  <si>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</si>
  <si>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</si>
  <si>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</si>
  <si>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</si>
  <si>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</si>
  <si>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</si>
  <si>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</si>
  <si>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</si>
  <si>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</si>
  <si>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</si>
  <si>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</si>
  <si>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</si>
  <si>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</si>
  <si>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</si>
  <si>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</si>
  <si>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</si>
  <si>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</si>
  <si>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</si>
  <si>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</si>
  <si>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</si>
  <si>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</si>
  <si>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</si>
  <si>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</si>
  <si>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</si>
  <si>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</si>
  <si>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</si>
  <si>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</si>
  <si>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</si>
  <si>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</si>
  <si>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</si>
  <si>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</si>
  <si>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</si>
  <si>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</si>
  <si>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</si>
  <si>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</si>
  <si>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</si>
  <si>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</si>
  <si>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</si>
  <si>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</si>
  <si>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</si>
  <si>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</si>
  <si>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</si>
  <si>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</si>
  <si>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</si>
  <si>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</si>
  <si>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</si>
  <si>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</si>
  <si>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</si>
  <si>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</si>
  <si>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</si>
  <si>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</si>
  <si>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</si>
  <si>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</si>
  <si>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</si>
  <si>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</si>
  <si>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</si>
  <si>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</si>
  <si>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</si>
  <si>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</si>
  <si>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</si>
  <si>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</si>
  <si>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</si>
  <si>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</si>
  <si>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</si>
  <si>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</si>
  <si>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</si>
  <si>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</si>
  <si>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</si>
  <si>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</si>
  <si>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</si>
  <si>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</si>
  <si>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</si>
  <si>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</si>
  <si>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</si>
  <si>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</si>
  <si>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</si>
  <si>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</si>
  <si>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</si>
  <si>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</si>
  <si>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</si>
  <si>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</si>
  <si>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</si>
  <si>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</si>
  <si>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</si>
  <si>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</si>
  <si>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</si>
  <si>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</si>
  <si>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</si>
  <si>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</si>
  <si>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</si>
  <si>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</si>
  <si>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</si>
  <si>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</si>
  <si>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</si>
  <si>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</si>
  <si>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</si>
  <si>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</si>
  <si>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</si>
  <si>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</si>
  <si>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</si>
  <si>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</si>
  <si>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</si>
  <si>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</si>
  <si>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</si>
  <si>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</si>
  <si>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</si>
  <si>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</si>
  <si>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</si>
  <si>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</si>
  <si>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</si>
  <si>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</si>
  <si>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</si>
  <si>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</si>
  <si>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</si>
  <si>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</si>
  <si>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</si>
  <si>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</si>
  <si>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</si>
  <si>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</si>
  <si>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</si>
  <si>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</si>
  <si>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</si>
  <si>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</si>
  <si>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</si>
  <si>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</si>
  <si>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</si>
  <si>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</si>
  <si>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</si>
  <si>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</si>
  <si>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</si>
  <si>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</si>
  <si>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</si>
  <si>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</si>
  <si>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</si>
  <si>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</si>
  <si>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</si>
  <si>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</si>
  <si>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</si>
  <si>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</si>
  <si>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</si>
  <si>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</si>
  <si>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</si>
  <si>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</si>
  <si>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</si>
  <si>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</si>
  <si>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</si>
  <si>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</si>
  <si>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</si>
  <si>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</si>
  <si>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</si>
  <si>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</si>
  <si>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</si>
  <si>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</si>
  <si>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</si>
  <si>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</si>
  <si>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</si>
  <si>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</si>
  <si>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</si>
  <si>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</si>
  <si>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</si>
  <si>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</si>
  <si>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</si>
  <si>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</si>
  <si>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</si>
  <si>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</si>
  <si>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</si>
  <si>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</si>
  <si>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</si>
  <si>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</si>
  <si>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</si>
  <si>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</si>
  <si>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</si>
  <si>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</si>
  <si>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</si>
  <si>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</si>
  <si>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</si>
  <si>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</si>
  <si>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</si>
  <si>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</si>
  <si>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</si>
  <si>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</si>
  <si>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</si>
  <si>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</si>
  <si>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</si>
  <si>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</si>
  <si>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</si>
  <si>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</si>
  <si>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</si>
  <si>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</si>
  <si>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</si>
  <si>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</si>
  <si>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</si>
  <si>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</si>
  <si>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</si>
  <si>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</si>
  <si>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</si>
  <si>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</si>
  <si>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</si>
  <si>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</si>
  <si>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</si>
  <si>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</si>
  <si>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</si>
  <si>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</si>
  <si>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</si>
  <si>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</si>
  <si>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</si>
  <si>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</si>
  <si>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</si>
  <si>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</si>
  <si>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</si>
  <si>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</si>
  <si>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</si>
  <si>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</si>
  <si>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</si>
  <si>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</si>
  <si>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</si>
  <si>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</si>
  <si>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</si>
  <si>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</si>
  <si>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</si>
  <si>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</si>
  <si>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</si>
  <si>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</si>
  <si>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</si>
  <si>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</si>
  <si>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</si>
  <si>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</si>
  <si>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</si>
  <si>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</si>
  <si>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</si>
  <si>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</si>
  <si>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</si>
  <si>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</si>
  <si>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</si>
  <si>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</si>
  <si>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</si>
  <si>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</si>
  <si>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</si>
  <si>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</si>
  <si>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</si>
  <si>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</si>
  <si>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</si>
  <si>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</si>
  <si>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</si>
  <si>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</si>
  <si>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</si>
  <si>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</si>
  <si>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</si>
  <si>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</si>
  <si>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</si>
  <si>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</si>
  <si>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</si>
  <si>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</si>
  <si>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</si>
  <si>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</si>
  <si>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</si>
  <si>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</si>
  <si>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</si>
  <si>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</si>
  <si>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</si>
  <si>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</si>
  <si>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</si>
  <si>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</si>
  <si>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</si>
  <si>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</si>
  <si>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</si>
  <si>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</si>
  <si>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</si>
  <si>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</si>
  <si>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</si>
  <si>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</si>
  <si>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</si>
  <si>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</si>
  <si>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</si>
  <si>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</si>
  <si>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</si>
  <si>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</si>
  <si>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</si>
  <si>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</si>
  <si>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</si>
  <si>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</si>
  <si>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</si>
  <si>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</si>
  <si>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</si>
  <si>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</si>
  <si>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</si>
  <si>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</si>
  <si>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</si>
  <si>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</si>
  <si>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</si>
  <si>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</si>
  <si>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</si>
  <si>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</si>
  <si>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</si>
  <si>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</si>
  <si>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</si>
  <si>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</si>
  <si>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</si>
  <si>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</si>
  <si>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</si>
  <si>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</si>
  <si>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</si>
  <si>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</si>
  <si>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</si>
  <si>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</si>
  <si>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</si>
  <si>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</si>
  <si>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</si>
  <si>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</si>
  <si>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</si>
  <si>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</si>
  <si>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</si>
  <si>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</si>
  <si>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</si>
  <si>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</si>
  <si>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</si>
  <si>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</si>
  <si>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</si>
  <si>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</si>
  <si>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</si>
  <si>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</si>
  <si>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</si>
  <si>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</si>
  <si>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</si>
  <si>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</si>
  <si>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</si>
  <si>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</si>
  <si>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</si>
  <si>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</si>
  <si>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</si>
  <si>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</si>
  <si>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</si>
  <si>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</si>
  <si>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</si>
  <si>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</si>
  <si>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</si>
  <si>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</si>
  <si>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</si>
  <si>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</si>
  <si>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</si>
  <si>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</si>
  <si>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</si>
  <si>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</si>
  <si>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</si>
  <si>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</si>
  <si>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</si>
  <si>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</si>
  <si>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</si>
  <si>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</si>
  <si>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</si>
  <si>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</si>
  <si>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</si>
  <si>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</si>
  <si>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</si>
  <si>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</si>
  <si>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</si>
  <si>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</si>
  <si>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</si>
  <si>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</si>
  <si>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</si>
  <si>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</si>
  <si>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</si>
  <si>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</si>
  <si>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</si>
  <si>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</si>
  <si>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</si>
  <si>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</si>
  <si>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</si>
  <si>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</si>
  <si>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</si>
  <si>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</si>
  <si>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</si>
  <si>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</si>
  <si>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</si>
  <si>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</si>
  <si>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</si>
  <si>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</si>
  <si>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</si>
  <si>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</si>
  <si>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</si>
  <si>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</si>
  <si>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</si>
  <si>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</si>
  <si>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</si>
  <si>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</si>
  <si>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</si>
  <si>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</si>
  <si>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</si>
  <si>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</si>
  <si>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</si>
  <si>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</si>
  <si>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</si>
  <si>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</si>
  <si>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</si>
  <si>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</si>
  <si>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</si>
  <si>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</si>
  <si>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</si>
  <si>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</si>
  <si>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</si>
  <si>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</si>
  <si>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</si>
  <si>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</si>
  <si>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</si>
  <si>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</si>
  <si>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</si>
  <si>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</si>
  <si>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</si>
  <si>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</si>
  <si>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</si>
  <si>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</si>
  <si>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</si>
  <si>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</si>
  <si>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</si>
  <si>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</si>
  <si>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</si>
  <si>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</si>
  <si>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</si>
  <si>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</si>
  <si>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</si>
  <si>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</si>
  <si>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</si>
  <si>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</si>
  <si>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</si>
  <si>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</si>
  <si>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</si>
  <si>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</si>
  <si>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</si>
  <si>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</si>
  <si>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</si>
  <si>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</si>
  <si>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</si>
  <si>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</si>
  <si>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</si>
  <si>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</si>
  <si>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</si>
  <si>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</si>
  <si>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</si>
  <si>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</si>
  <si>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</si>
  <si>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</si>
  <si>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</si>
  <si>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</si>
  <si>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</si>
  <si>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</si>
  <si>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</si>
  <si>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</si>
  <si>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</si>
  <si>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</si>
  <si>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</si>
  <si>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</si>
  <si>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</si>
  <si>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</si>
  <si>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</si>
  <si>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</si>
  <si>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</si>
  <si>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</si>
  <si>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</si>
  <si>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</si>
  <si>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</si>
  <si>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</si>
  <si>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</si>
  <si>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</si>
  <si>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</si>
  <si>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</si>
  <si>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</si>
  <si>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</si>
  <si>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</si>
  <si>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</si>
  <si>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</si>
  <si>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</si>
  <si>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</si>
  <si>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</si>
  <si>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</si>
  <si>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</si>
  <si>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</si>
  <si>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</si>
  <si>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</si>
  <si>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</si>
  <si>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</si>
  <si>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</si>
  <si>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</si>
  <si>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</si>
  <si>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</si>
  <si>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</si>
  <si>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</si>
  <si>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</si>
  <si>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</si>
  <si>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</si>
  <si>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</si>
  <si>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</si>
  <si>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</si>
  <si>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</si>
  <si>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</si>
  <si>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</si>
  <si>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</si>
  <si>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</si>
  <si>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</si>
  <si>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</si>
  <si>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</si>
  <si>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</si>
  <si>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</si>
  <si>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</si>
  <si>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</si>
  <si>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</si>
  <si>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</si>
  <si>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</si>
  <si>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</si>
  <si>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</si>
  <si>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</si>
  <si>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</si>
  <si>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</si>
  <si>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</si>
  <si>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</si>
  <si>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</si>
  <si>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</si>
  <si>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</si>
  <si>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</si>
  <si>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</si>
  <si>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</si>
  <si>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</si>
  <si>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</si>
  <si>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</si>
  <si>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</si>
  <si>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</si>
  <si>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</si>
  <si>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</si>
  <si>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</si>
  <si>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</si>
  <si>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</si>
  <si>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</si>
  <si>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</si>
  <si>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</si>
  <si>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</si>
  <si>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</si>
  <si>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</si>
  <si>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</si>
  <si>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</si>
  <si>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</si>
  <si>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</si>
  <si>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</si>
  <si>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</si>
  <si>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</si>
  <si>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</si>
  <si>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</si>
  <si>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</si>
  <si>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</si>
  <si>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</si>
  <si>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</si>
  <si>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</si>
  <si>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</si>
  <si>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</si>
  <si>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</si>
  <si>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</si>
  <si>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</si>
  <si>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</si>
  <si>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</si>
  <si>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</si>
  <si>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</si>
  <si>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</si>
  <si>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</si>
  <si>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</si>
  <si>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</si>
  <si>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</si>
  <si>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</si>
  <si>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</si>
  <si>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</si>
  <si>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</si>
  <si>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</si>
  <si>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</si>
  <si>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</si>
  <si>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</si>
  <si>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</si>
  <si>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</si>
  <si>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</si>
  <si>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</si>
  <si>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</si>
  <si>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</si>
  <si>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</si>
  <si>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</si>
  <si>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</si>
  <si>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</si>
  <si>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</si>
  <si>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</si>
  <si>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</si>
  <si>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</si>
  <si>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</si>
  <si>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</si>
  <si>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</si>
  <si>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</si>
  <si>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</si>
  <si>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</si>
  <si>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</si>
  <si>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</si>
  <si>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</si>
  <si>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</si>
  <si>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</si>
  <si>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</si>
  <si>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</si>
  <si>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</si>
  <si>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</si>
  <si>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</si>
  <si>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</si>
  <si>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</si>
  <si>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</si>
  <si>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</si>
  <si>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</si>
  <si>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</si>
  <si>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</si>
  <si>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</si>
  <si>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</si>
  <si>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</si>
  <si>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</si>
  <si>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</si>
  <si>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</si>
  <si>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</si>
  <si>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</si>
  <si>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</si>
  <si>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</si>
  <si>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</si>
  <si>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</si>
  <si>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</si>
  <si>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</si>
  <si>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</si>
  <si>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</si>
  <si>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</si>
  <si>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</si>
  <si>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</si>
  <si>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</si>
  <si>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</si>
  <si>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</si>
  <si>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</si>
  <si>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</si>
  <si>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</si>
  <si>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</si>
  <si>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</si>
  <si>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</si>
  <si>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</si>
  <si>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</si>
  <si>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</si>
  <si>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</si>
  <si>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</si>
  <si>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</si>
  <si>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</si>
  <si>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</si>
  <si>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</si>
  <si>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</si>
  <si>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</si>
  <si>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</si>
  <si>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</si>
  <si>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</si>
  <si>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</si>
  <si>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</si>
  <si>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</si>
  <si>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</si>
  <si>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</si>
  <si>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</si>
  <si>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</si>
  <si>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</si>
  <si>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</si>
  <si>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</si>
  <si>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</si>
  <si>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</si>
  <si>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</si>
  <si>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</si>
  <si>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</si>
  <si>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</si>
  <si>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</si>
  <si>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</si>
  <si>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</si>
  <si>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</si>
  <si>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</si>
  <si>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</si>
  <si>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</si>
  <si>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</si>
  <si>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</si>
  <si>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</si>
  <si>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</si>
  <si>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</si>
  <si>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</si>
  <si>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</si>
  <si>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</si>
  <si>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</si>
  <si>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</si>
  <si>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</si>
  <si>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</si>
  <si>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</si>
  <si>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</si>
  <si>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</si>
  <si>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</si>
  <si>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</si>
  <si>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</si>
  <si>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</si>
  <si>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</si>
  <si>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</si>
  <si>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</si>
  <si>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</si>
  <si>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</si>
  <si>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</si>
  <si>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</si>
  <si>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</si>
  <si>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</si>
  <si>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</si>
  <si>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</si>
  <si>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</si>
  <si>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</si>
  <si>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</si>
  <si>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</si>
  <si>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</si>
  <si>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</si>
  <si>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</si>
  <si>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</si>
  <si>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</si>
  <si>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</si>
  <si>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</si>
  <si>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</si>
  <si>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</si>
  <si>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</si>
  <si>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</si>
  <si>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</si>
  <si>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</si>
  <si>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</si>
  <si>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</si>
  <si>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</si>
  <si>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</si>
  <si>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</si>
  <si>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</si>
  <si>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</si>
  <si>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</si>
  <si>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</si>
  <si>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</si>
  <si>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</si>
  <si>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</si>
  <si>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</si>
  <si>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</si>
  <si>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</si>
  <si>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</si>
  <si>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</si>
  <si>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</si>
  <si>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</si>
  <si>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</si>
  <si>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</si>
  <si>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</si>
  <si>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</si>
  <si>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</si>
  <si>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</si>
  <si>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</si>
  <si>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</si>
  <si>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</si>
  <si>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</si>
  <si>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</si>
  <si>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</si>
  <si>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</si>
  <si>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</si>
  <si>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</si>
  <si>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</si>
  <si>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</si>
  <si>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</si>
  <si>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</si>
  <si>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</si>
  <si>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</si>
  <si>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</si>
  <si>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</si>
  <si>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</si>
  <si>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</si>
  <si>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</si>
  <si>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</si>
  <si>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</si>
  <si>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</si>
  <si>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</si>
  <si>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</si>
  <si>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</si>
  <si>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</si>
  <si>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</si>
  <si>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</si>
  <si>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</si>
  <si>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</si>
  <si>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</si>
  <si>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</si>
  <si>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</si>
  <si>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</si>
  <si>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</si>
  <si>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</si>
  <si>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</si>
  <si>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</si>
  <si>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</si>
  <si>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</si>
  <si>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</si>
  <si>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</si>
  <si>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</si>
  <si>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</si>
  <si>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</si>
  <si>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</si>
  <si>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</si>
  <si>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</si>
  <si>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</si>
  <si>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</si>
  <si>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</si>
  <si>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</si>
  <si>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</si>
  <si>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</si>
  <si>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</si>
  <si>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</si>
  <si>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</si>
  <si>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</si>
  <si>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</si>
  <si>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</si>
  <si>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</si>
  <si>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</si>
  <si>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</si>
  <si>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</si>
  <si>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</si>
  <si>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</si>
  <si>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</si>
  <si>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</si>
  <si>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</si>
  <si>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</si>
  <si>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</si>
  <si>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</si>
  <si>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</si>
  <si>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</si>
  <si>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</si>
  <si>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</si>
  <si>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</si>
  <si>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</si>
  <si>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</si>
  <si>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</si>
  <si>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</si>
  <si>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</si>
  <si>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</si>
  <si>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</si>
  <si>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</si>
  <si>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</si>
  <si>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</si>
  <si>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</si>
  <si>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</si>
  <si>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</si>
  <si>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</si>
  <si>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</si>
  <si>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</si>
  <si>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</si>
  <si>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</si>
  <si>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</si>
  <si>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</si>
  <si>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</si>
  <si>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</si>
  <si>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</si>
  <si>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</si>
  <si>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</si>
  <si>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</si>
  <si>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</si>
  <si>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</si>
  <si>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</si>
  <si>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</si>
  <si>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</si>
  <si>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</si>
  <si>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</si>
  <si>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</si>
  <si>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</si>
  <si>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</si>
  <si>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</si>
  <si>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</si>
  <si>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</si>
  <si>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</si>
  <si>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</si>
  <si>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</si>
  <si>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</si>
  <si>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</si>
  <si>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</si>
  <si>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</si>
  <si>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</si>
  <si>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</si>
  <si>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</si>
  <si>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</si>
  <si>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</si>
  <si>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</si>
  <si>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</si>
  <si>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</si>
  <si>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</si>
  <si>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</si>
  <si>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</si>
  <si>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</si>
  <si>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</si>
  <si>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</si>
  <si>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</si>
  <si>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</si>
  <si>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</si>
  <si>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</si>
  <si>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</si>
  <si>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</si>
  <si>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</si>
  <si>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</si>
  <si>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</si>
  <si>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</si>
  <si>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</si>
  <si>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</si>
  <si>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</si>
  <si>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</si>
  <si>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</si>
  <si>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</si>
  <si>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</si>
  <si>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</si>
  <si>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</si>
  <si>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</si>
  <si>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</si>
  <si>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</si>
  <si>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</si>
  <si>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</si>
  <si>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</si>
  <si>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</si>
  <si>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</si>
  <si>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</si>
  <si>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</si>
  <si>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</si>
  <si>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</si>
  <si>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</si>
  <si>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</si>
  <si>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</si>
  <si>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</si>
  <si>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</si>
  <si>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</si>
  <si>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</si>
  <si>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</si>
  <si>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</si>
  <si>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</si>
  <si>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</si>
  <si>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</si>
  <si>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</si>
  <si>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</si>
  <si>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</si>
  <si>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</si>
  <si>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</si>
  <si>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</si>
  <si>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</si>
  <si>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</si>
  <si>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</si>
  <si>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</si>
  <si>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</si>
  <si>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</si>
  <si>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</si>
  <si>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</si>
  <si>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</si>
  <si>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</si>
  <si>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</si>
  <si>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</si>
  <si>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</si>
  <si>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</si>
  <si>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</si>
  <si>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</si>
  <si>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</si>
  <si>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</si>
  <si>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</si>
  <si>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</si>
  <si>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</si>
  <si>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</si>
  <si>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</si>
  <si>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</si>
  <si>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</si>
  <si>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</si>
  <si>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</si>
  <si>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</si>
  <si>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</si>
  <si>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</si>
  <si>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</si>
  <si>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</si>
  <si>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</si>
  <si>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</si>
  <si>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</si>
  <si>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</si>
  <si>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</si>
  <si>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</si>
  <si>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</si>
  <si>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</si>
  <si>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</si>
  <si>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</si>
  <si>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</si>
  <si>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</si>
  <si>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</si>
  <si>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</si>
  <si>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</si>
  <si>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</si>
  <si>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</si>
  <si>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</si>
  <si>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</si>
  <si>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</si>
  <si>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</si>
  <si>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</si>
  <si>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</si>
  <si>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</si>
  <si>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</si>
  <si>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</si>
  <si>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</si>
  <si>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</si>
  <si>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</si>
  <si>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</si>
  <si>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</si>
  <si>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</si>
  <si>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</si>
  <si>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</si>
  <si>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</si>
  <si>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</si>
  <si>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</si>
  <si>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</si>
  <si>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</si>
  <si>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</si>
  <si>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</si>
  <si>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</si>
  <si>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</si>
  <si>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</si>
  <si>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</si>
  <si>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</si>
  <si>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</si>
  <si>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</si>
  <si>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</si>
  <si>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</si>
  <si>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</si>
  <si>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</si>
  <si>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</si>
  <si>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</si>
  <si>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</si>
  <si>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</si>
  <si>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</si>
  <si>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</si>
  <si>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</si>
  <si>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</si>
  <si>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</si>
  <si>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</si>
  <si>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</si>
  <si>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</si>
  <si>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</si>
  <si>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</si>
  <si>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</si>
  <si>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</si>
  <si>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</si>
  <si>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</si>
  <si>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</si>
  <si>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</si>
  <si>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</si>
  <si>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</si>
  <si>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</si>
  <si>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</si>
  <si>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</si>
  <si>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</si>
  <si>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</si>
  <si>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</si>
  <si>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</si>
  <si>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</si>
  <si>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</si>
  <si>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</si>
  <si>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</si>
  <si>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</si>
  <si>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</si>
  <si>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</si>
  <si>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</si>
  <si>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</si>
  <si>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</si>
  <si>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</si>
  <si>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</si>
  <si>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</si>
  <si>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</si>
  <si>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</si>
  <si>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</si>
  <si>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</si>
  <si>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</si>
  <si>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</si>
  <si>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</si>
  <si>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</si>
  <si>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</si>
  <si>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</si>
  <si>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</si>
  <si>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</si>
  <si>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</si>
  <si>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</si>
  <si>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</si>
  <si>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</si>
  <si>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</si>
  <si>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</si>
  <si>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</si>
  <si>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</si>
  <si>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</si>
  <si>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</si>
  <si>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</si>
  <si>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</si>
  <si>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</si>
  <si>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</si>
  <si>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</si>
  <si>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</si>
  <si>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</si>
  <si>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</si>
  <si>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</si>
  <si>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</si>
  <si>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</si>
  <si>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</si>
  <si>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</si>
  <si>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</si>
  <si>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</si>
  <si>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</si>
  <si>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</si>
  <si>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</si>
  <si>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</si>
  <si>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</si>
  <si>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</si>
  <si>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</si>
  <si>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</si>
  <si>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</si>
  <si>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</si>
  <si>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</si>
  <si>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</si>
  <si>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</si>
  <si>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</si>
  <si>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</si>
  <si>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</si>
  <si>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</si>
  <si>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</si>
  <si>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</si>
  <si>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</si>
  <si>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</si>
  <si>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</si>
  <si>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</si>
  <si>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</si>
  <si>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</si>
  <si>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</si>
  <si>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</si>
  <si>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</si>
  <si>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</si>
  <si>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</si>
  <si>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</si>
  <si>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</si>
  <si>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</si>
  <si>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</si>
  <si>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</si>
  <si>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</si>
  <si>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</si>
  <si>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</si>
  <si>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</si>
  <si>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</si>
  <si>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</si>
  <si>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</si>
  <si>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</si>
  <si>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</si>
  <si>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</si>
  <si>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</si>
  <si>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</si>
  <si>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</si>
  <si>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</si>
  <si>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</si>
  <si>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</si>
  <si>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</si>
  <si>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</si>
  <si>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</si>
  <si>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</si>
  <si>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</si>
  <si>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</si>
  <si>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</si>
  <si>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</si>
  <si>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</si>
  <si>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</si>
  <si>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</si>
  <si>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</si>
  <si>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</si>
  <si>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</si>
  <si>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</si>
  <si>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</si>
  <si>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</si>
  <si>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</si>
  <si>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</si>
  <si>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</si>
  <si>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</si>
  <si>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</si>
  <si>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</si>
  <si>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</si>
  <si>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</si>
  <si>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</si>
  <si>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</si>
  <si>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</si>
  <si>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</si>
  <si>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</si>
  <si>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</si>
  <si>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</si>
  <si>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</si>
  <si>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</si>
  <si>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</si>
  <si>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</si>
  <si>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</si>
  <si>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</si>
  <si>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</si>
  <si>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</si>
  <si>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</si>
  <si>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</si>
  <si>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</si>
  <si>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</si>
  <si>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</si>
  <si>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</si>
  <si>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</si>
  <si>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</si>
  <si>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</si>
  <si>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</si>
  <si>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</si>
  <si>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</si>
  <si>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</si>
  <si>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</si>
  <si>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</si>
  <si>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</si>
  <si>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</si>
  <si>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</si>
  <si>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</si>
  <si>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</si>
  <si>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</si>
  <si>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</si>
  <si>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</si>
  <si>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</si>
  <si>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</si>
  <si>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</si>
  <si>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</si>
  <si>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</si>
  <si>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</si>
  <si>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</si>
  <si>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</si>
  <si>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</si>
  <si>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</si>
  <si>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</si>
  <si>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</si>
  <si>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</si>
  <si>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</si>
  <si>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</si>
  <si>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</si>
  <si>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</si>
  <si>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</si>
  <si>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</si>
  <si>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</si>
  <si>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</si>
  <si>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</si>
  <si>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</si>
  <si>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</si>
  <si>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</si>
  <si>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</si>
  <si>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</si>
  <si>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</si>
  <si>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</si>
  <si>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</si>
  <si>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</si>
  <si>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</si>
  <si>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</si>
  <si>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</si>
  <si>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</si>
  <si>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</si>
  <si>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</si>
  <si>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</si>
  <si>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</si>
  <si>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</si>
  <si>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</si>
  <si>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</si>
  <si>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</si>
  <si>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</si>
  <si>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</si>
  <si>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</si>
  <si>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</si>
  <si>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</si>
  <si>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</si>
  <si>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</si>
  <si>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</si>
  <si>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</si>
  <si>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</si>
  <si>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</si>
  <si>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</si>
  <si>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</si>
  <si>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</si>
  <si>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</si>
  <si>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</si>
  <si>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</si>
  <si>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</si>
  <si>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</si>
  <si>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</si>
  <si>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</si>
  <si>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</si>
  <si>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</si>
  <si>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</si>
  <si>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</si>
  <si>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</si>
  <si>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</si>
  <si>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</si>
  <si>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</si>
  <si>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</si>
  <si>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</si>
  <si>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</si>
  <si>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</si>
  <si>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</si>
  <si>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</si>
  <si>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</si>
  <si>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</si>
  <si>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</si>
  <si>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</si>
  <si>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</si>
  <si>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</si>
  <si>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</si>
  <si>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</si>
  <si>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</si>
  <si>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</si>
  <si>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</si>
  <si>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</si>
  <si>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</si>
  <si>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</si>
  <si>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</si>
  <si>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</si>
  <si>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</si>
  <si>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</si>
  <si>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</si>
  <si>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</si>
  <si>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</si>
  <si>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</si>
  <si>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</si>
  <si>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</si>
  <si>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</si>
  <si>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</si>
  <si>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</si>
  <si>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</si>
  <si>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</si>
  <si>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</si>
  <si>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</si>
  <si>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</si>
  <si>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</si>
  <si>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</si>
  <si>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</si>
  <si>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</si>
  <si>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</si>
  <si>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</si>
  <si>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</si>
  <si>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</si>
  <si>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</si>
  <si>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</si>
  <si>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</si>
  <si>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</si>
  <si>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</si>
  <si>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</si>
  <si>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</si>
  <si>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</si>
  <si>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</si>
  <si>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</si>
  <si>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</si>
  <si>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</si>
  <si>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</si>
  <si>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</si>
  <si>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</si>
  <si>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</si>
  <si>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</si>
  <si>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</si>
  <si>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</si>
  <si>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</si>
  <si>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</si>
  <si>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</si>
  <si>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</si>
  <si>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</si>
  <si>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</si>
  <si>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</si>
  <si>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</si>
  <si>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</si>
  <si>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</si>
  <si>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</si>
  <si>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</si>
  <si>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</si>
  <si>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</si>
  <si>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</si>
  <si>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</si>
  <si>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</si>
  <si>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</si>
  <si>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</si>
  <si>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</si>
  <si>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</si>
  <si>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</si>
  <si>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</si>
  <si>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</si>
  <si>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</si>
  <si>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</si>
  <si>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</si>
  <si>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</si>
  <si>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</si>
  <si>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</si>
  <si>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</si>
  <si>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</si>
  <si>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</si>
  <si>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</si>
  <si>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</si>
  <si>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</si>
  <si>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</si>
  <si>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</si>
  <si>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</si>
  <si>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</si>
  <si>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</si>
  <si>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</si>
  <si>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</si>
  <si>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</si>
  <si>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</si>
  <si>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</si>
  <si>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</si>
  <si>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</si>
  <si>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</si>
  <si>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</si>
  <si>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</si>
  <si>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</si>
  <si>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</si>
  <si>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</si>
  <si>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</si>
  <si>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</si>
  <si>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</si>
  <si>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</si>
  <si>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</si>
  <si>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</si>
  <si>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</si>
  <si>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</si>
  <si>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</si>
  <si>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</si>
  <si>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</si>
  <si>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</si>
  <si>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</si>
  <si>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</si>
  <si>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</si>
  <si>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</si>
  <si>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</si>
  <si>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</si>
  <si>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</si>
  <si>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</si>
  <si>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</si>
  <si>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</si>
  <si>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</si>
  <si>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</si>
  <si>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</si>
  <si>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</si>
  <si>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</si>
  <si>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</si>
  <si>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</si>
  <si>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</si>
  <si>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</si>
  <si>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</si>
  <si>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</si>
  <si>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</si>
  <si>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</si>
  <si>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</si>
  <si>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</si>
  <si>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</si>
  <si>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</si>
  <si>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</si>
  <si>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</si>
  <si>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</si>
  <si>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</si>
  <si>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</si>
  <si>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</si>
  <si>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</si>
  <si>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</si>
  <si>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</si>
  <si>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</si>
  <si>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</si>
  <si>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</si>
  <si>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</si>
  <si>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</si>
  <si>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</si>
  <si>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</si>
  <si>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</si>
  <si>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</si>
  <si>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</si>
  <si>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</si>
  <si>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</si>
  <si>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</si>
  <si>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</si>
  <si>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</si>
  <si>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</si>
  <si>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</si>
  <si>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</si>
  <si>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</si>
  <si>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</si>
  <si>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</si>
  <si>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</si>
  <si>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</si>
  <si>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</si>
  <si>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</si>
  <si>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</si>
  <si>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</si>
  <si>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</si>
  <si>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</si>
  <si>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</si>
  <si>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</si>
  <si>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</si>
  <si>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</si>
  <si>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</si>
  <si>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</si>
  <si>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</si>
  <si>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</si>
  <si>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</si>
  <si>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</si>
  <si>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</si>
  <si>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</si>
  <si>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</si>
  <si>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</si>
  <si>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</si>
  <si>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</si>
  <si>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</si>
  <si>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</si>
  <si>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</si>
  <si>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</si>
  <si>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</si>
  <si>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</si>
  <si>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</si>
  <si>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</si>
  <si>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</si>
  <si>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</si>
  <si>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</si>
  <si>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</si>
  <si>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</si>
  <si>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</si>
  <si>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</si>
  <si>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</si>
  <si>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</si>
  <si>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</si>
  <si>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</si>
  <si>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</si>
  <si>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</si>
  <si>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</si>
  <si>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</si>
  <si>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</si>
  <si>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</si>
  <si>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</si>
  <si>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</si>
  <si>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</si>
  <si>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</si>
  <si>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</si>
  <si>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</si>
  <si>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</si>
  <si>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</si>
  <si>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</si>
  <si>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</si>
  <si>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</si>
  <si>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</si>
  <si>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</si>
  <si>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</si>
  <si>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</si>
  <si>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</si>
  <si>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</si>
  <si>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</si>
  <si>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</si>
  <si>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</si>
  <si>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</si>
  <si>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</si>
  <si>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</si>
  <si>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</si>
  <si>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</si>
  <si>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</si>
  <si>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</si>
  <si>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</si>
  <si>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</si>
  <si>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</si>
  <si>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</si>
  <si>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</si>
  <si>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</si>
  <si>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</si>
  <si>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</si>
  <si>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</si>
  <si>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</si>
  <si>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</si>
  <si>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</si>
  <si>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</si>
  <si>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</si>
  <si>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</si>
  <si>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</si>
  <si>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</si>
  <si>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</si>
  <si>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</si>
  <si>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</si>
  <si>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</si>
  <si>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</si>
  <si>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</si>
  <si>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</si>
  <si>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</si>
  <si>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</si>
  <si>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</si>
  <si>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</si>
  <si>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</si>
  <si>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</si>
  <si>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</si>
  <si>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</si>
  <si>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</si>
  <si>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</si>
  <si>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</si>
  <si>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</si>
  <si>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</si>
  <si>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</si>
  <si>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</si>
  <si>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</si>
  <si>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</si>
  <si>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</si>
  <si>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</si>
  <si>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</si>
  <si>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</si>
  <si>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</si>
  <si>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</si>
  <si>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</si>
  <si>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</si>
  <si>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</si>
  <si>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</si>
  <si>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</si>
  <si>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</si>
  <si>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</si>
  <si>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</si>
  <si>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</si>
  <si>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</si>
  <si>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</si>
  <si>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</si>
  <si>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</si>
  <si>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</si>
  <si>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</si>
  <si>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</si>
  <si>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</si>
  <si>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</si>
  <si>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</si>
  <si>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</si>
  <si>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</si>
  <si>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</si>
  <si>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</si>
  <si>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</si>
  <si>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</si>
  <si>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</si>
  <si>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</si>
  <si>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</si>
  <si>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</si>
  <si>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</si>
  <si>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</si>
  <si>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</si>
  <si>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</si>
  <si>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</si>
  <si>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</si>
  <si>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</si>
  <si>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</si>
  <si>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</si>
  <si>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</si>
  <si>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</si>
  <si>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</si>
  <si>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</si>
  <si>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</si>
  <si>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</si>
  <si>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</si>
  <si>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</si>
  <si>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</si>
  <si>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</si>
  <si>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</si>
  <si>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</si>
  <si>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</si>
  <si>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</si>
  <si>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</si>
  <si>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</si>
  <si>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</si>
  <si>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</si>
  <si>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</si>
  <si>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</si>
  <si>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</si>
  <si>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</si>
  <si>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</si>
  <si>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</si>
  <si>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</si>
  <si>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</si>
  <si>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</si>
  <si>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</si>
  <si>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</si>
  <si>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</si>
  <si>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</si>
  <si>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</si>
  <si>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</si>
  <si>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</si>
  <si>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</si>
  <si>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</si>
  <si>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</si>
  <si>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</si>
  <si>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</si>
  <si>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</si>
  <si>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</si>
  <si>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</si>
  <si>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</si>
  <si>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</si>
  <si>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</si>
  <si>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</si>
  <si>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</si>
  <si>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</si>
  <si>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</si>
  <si>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</si>
  <si>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</si>
  <si>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</si>
  <si>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</si>
  <si>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</si>
  <si>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</si>
  <si>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</si>
  <si>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</si>
  <si>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</si>
  <si>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</si>
  <si>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</si>
  <si>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</si>
  <si>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</si>
  <si>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</si>
  <si>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</si>
  <si>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</si>
  <si>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</si>
  <si>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</si>
  <si>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</si>
  <si>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</si>
  <si>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</si>
  <si>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</si>
  <si>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</si>
  <si>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</si>
  <si>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</si>
  <si>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</si>
  <si>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</si>
  <si>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</si>
  <si>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</si>
  <si>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</si>
  <si>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</si>
  <si>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</si>
  <si>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</si>
  <si>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</si>
  <si>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</si>
  <si>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</si>
  <si>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</si>
  <si>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</si>
  <si>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</si>
  <si>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</si>
  <si>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</si>
  <si>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</si>
  <si>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</si>
  <si>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</si>
  <si>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</si>
  <si>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</si>
  <si>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</si>
  <si>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</si>
  <si>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</si>
  <si>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</si>
  <si>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</si>
  <si>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</si>
  <si>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</si>
  <si>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</si>
  <si>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</si>
  <si>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</si>
  <si>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</si>
  <si>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</si>
  <si>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</si>
  <si>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</si>
  <si>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</si>
  <si>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</si>
  <si>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</si>
  <si>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</si>
  <si>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</si>
  <si>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</si>
  <si>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</si>
  <si>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</si>
  <si>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</si>
  <si>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</si>
  <si>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</si>
  <si>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</si>
  <si>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</si>
  <si>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</si>
  <si>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</si>
  <si>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</si>
  <si>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</si>
  <si>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</si>
  <si>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</si>
  <si>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</si>
  <si>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</si>
  <si>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</si>
  <si>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</si>
  <si>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</si>
  <si>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</si>
  <si>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</si>
  <si>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</si>
  <si>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</si>
  <si>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</si>
  <si>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</si>
  <si>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</si>
  <si>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</si>
  <si>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</si>
  <si>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</si>
  <si>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</si>
  <si>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</si>
  <si>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</si>
  <si>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</si>
  <si>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</si>
  <si>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</si>
  <si>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</si>
  <si>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</si>
  <si>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</si>
  <si>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</si>
  <si>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</si>
  <si>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</si>
  <si>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</si>
  <si>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</si>
  <si>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</si>
  <si>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</si>
  <si>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</si>
  <si>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</si>
  <si>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</si>
  <si>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</si>
  <si>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</si>
  <si>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</si>
  <si>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</si>
  <si>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</si>
  <si>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</si>
  <si>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</si>
  <si>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</si>
  <si>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</si>
  <si>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</si>
  <si>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</si>
  <si>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</si>
  <si>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</si>
  <si>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</si>
  <si>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</si>
  <si>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</si>
  <si>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</si>
  <si>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</si>
  <si>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</si>
  <si>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</si>
  <si>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</si>
  <si>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</si>
  <si>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</si>
  <si>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</si>
  <si>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</si>
  <si>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</si>
  <si>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</si>
  <si>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</si>
  <si>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</si>
  <si>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</si>
  <si>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</si>
  <si>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</si>
  <si>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</si>
  <si>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</si>
  <si>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</si>
  <si>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</si>
  <si>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</si>
  <si>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</si>
  <si>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</si>
  <si>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</si>
  <si>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</si>
  <si>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</si>
  <si>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</si>
  <si>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</si>
  <si>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</si>
  <si>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</si>
  <si>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</si>
  <si>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</si>
  <si>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</si>
  <si>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</si>
  <si>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</si>
  <si>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</si>
  <si>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</si>
  <si>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</si>
  <si>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</si>
  <si>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</si>
  <si>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</si>
  <si>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</si>
  <si>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</si>
  <si>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</si>
  <si>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</si>
  <si>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</si>
  <si>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</si>
  <si>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</si>
  <si>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</si>
  <si>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</si>
  <si>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</si>
  <si>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</si>
  <si>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</si>
  <si>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</si>
  <si>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</si>
  <si>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</si>
  <si>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</si>
  <si>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</si>
  <si>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</si>
  <si>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</si>
  <si>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</si>
  <si>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</si>
  <si>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</si>
  <si>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</si>
  <si>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</si>
  <si>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</si>
  <si>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</si>
  <si>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</si>
  <si>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</si>
  <si>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</si>
  <si>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</si>
  <si>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</si>
  <si>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</si>
  <si>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</si>
  <si>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</si>
  <si>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</si>
  <si>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</si>
  <si>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</si>
  <si>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</si>
  <si>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</si>
  <si>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</si>
  <si>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</si>
  <si>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</si>
  <si>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</si>
  <si>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</si>
  <si>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</si>
  <si>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</si>
  <si>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</si>
  <si>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</si>
  <si>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</si>
  <si>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</si>
  <si>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</si>
  <si>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</si>
  <si>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</si>
  <si>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</si>
  <si>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</si>
  <si>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</si>
  <si>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</si>
  <si>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</si>
  <si>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</si>
  <si>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</si>
  <si>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</si>
  <si>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</si>
  <si>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</si>
  <si>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</si>
  <si>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</si>
  <si>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</si>
  <si>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</si>
  <si>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</si>
  <si>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</si>
  <si>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</si>
  <si>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</si>
  <si>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</si>
  <si>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</si>
  <si>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</si>
  <si>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</si>
  <si>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</si>
  <si>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</si>
  <si>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</si>
  <si>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</si>
  <si>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</si>
  <si>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</si>
  <si>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</si>
  <si>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</si>
  <si>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</si>
  <si>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</si>
  <si>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</si>
  <si>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</si>
  <si>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</si>
  <si>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</si>
  <si>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</si>
  <si>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</si>
  <si>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</si>
  <si>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</si>
  <si>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</si>
  <si>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</si>
  <si>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</si>
  <si>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</si>
  <si>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</si>
  <si>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</si>
  <si>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</si>
  <si>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</si>
  <si>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</si>
  <si>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</si>
  <si>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</si>
  <si>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</si>
  <si>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</si>
  <si>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</si>
  <si>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</si>
  <si>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</si>
  <si>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</si>
  <si>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</si>
  <si>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</si>
  <si>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</si>
  <si>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</si>
  <si>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</si>
  <si>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</si>
  <si>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</si>
  <si>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</si>
  <si>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</si>
  <si>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</si>
  <si>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</si>
  <si>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</si>
  <si>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</si>
  <si>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</si>
  <si>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</si>
  <si>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</si>
  <si>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</si>
  <si>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</si>
  <si>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</si>
  <si>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</si>
  <si>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</si>
  <si>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</si>
  <si>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</si>
  <si>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</si>
  <si>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</si>
  <si>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</si>
  <si>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</si>
  <si>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</si>
  <si>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</si>
  <si>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</si>
  <si>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</si>
  <si>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</si>
  <si>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</si>
  <si>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</si>
  <si>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</si>
  <si>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</si>
  <si>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</si>
  <si>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</si>
  <si>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</si>
  <si>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</si>
  <si>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</si>
  <si>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</si>
  <si>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</si>
  <si>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</si>
  <si>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</si>
  <si>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</si>
  <si>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</si>
  <si>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</si>
  <si>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</si>
  <si>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</si>
  <si>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</si>
  <si>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</si>
  <si>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</si>
  <si>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</si>
  <si>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</si>
  <si>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</si>
  <si>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</si>
  <si>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</si>
  <si>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</si>
  <si>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</si>
  <si>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</si>
  <si>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</si>
  <si>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</si>
  <si>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</si>
  <si>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</si>
  <si>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</si>
  <si>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</si>
  <si>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</si>
  <si>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</si>
  <si>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</si>
  <si>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</si>
  <si>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</si>
  <si>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</si>
  <si>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</si>
  <si>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</si>
  <si>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</si>
  <si>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</si>
  <si>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</si>
  <si>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</si>
  <si>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</si>
  <si>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</si>
  <si>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</si>
  <si>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</si>
  <si>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</si>
  <si>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</si>
  <si>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</si>
  <si>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</si>
  <si>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</si>
  <si>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</si>
  <si>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</si>
  <si>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</si>
  <si>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</si>
  <si>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</si>
  <si>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</si>
  <si>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</si>
  <si>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</si>
  <si>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</si>
  <si>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</si>
  <si>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</si>
  <si>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</si>
  <si>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</si>
  <si>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</si>
  <si>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</si>
  <si>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</si>
  <si>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</si>
  <si>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</si>
  <si>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</si>
  <si>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</si>
  <si>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</si>
  <si>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</si>
  <si>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</si>
  <si>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</si>
  <si>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</si>
  <si>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</si>
  <si>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</si>
  <si>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</si>
  <si>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</si>
  <si>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</si>
  <si>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</si>
  <si>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</si>
  <si>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</si>
  <si>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</si>
  <si>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</si>
  <si>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</si>
  <si>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</si>
  <si>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</si>
  <si>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</si>
  <si>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</si>
  <si>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</si>
  <si>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</si>
  <si>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</si>
  <si>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</si>
  <si>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</si>
  <si>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</si>
  <si>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</si>
  <si>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</si>
  <si>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</si>
  <si>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</si>
  <si>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</si>
  <si>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</si>
  <si>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</si>
  <si>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</si>
  <si>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</si>
  <si>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</si>
  <si>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</si>
  <si>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</si>
  <si>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</si>
  <si>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</si>
  <si>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</si>
  <si>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</si>
  <si>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</si>
  <si>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</si>
  <si>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</si>
  <si>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</si>
  <si>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</si>
  <si>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</si>
  <si>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</si>
  <si>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</si>
  <si>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</si>
  <si>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</si>
  <si>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</si>
  <si>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</si>
  <si>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</si>
  <si>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</si>
  <si>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</si>
  <si>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</si>
  <si>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</si>
  <si>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</si>
  <si>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</si>
  <si>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</si>
  <si>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</si>
  <si>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</si>
  <si>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</si>
  <si>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</si>
  <si>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</si>
  <si>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</si>
  <si>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</si>
  <si>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</si>
  <si>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</si>
  <si>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</si>
  <si>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</si>
  <si>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</si>
  <si>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</si>
  <si>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</si>
  <si>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</si>
  <si>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</si>
  <si>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</si>
  <si>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</si>
  <si>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</si>
  <si>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</si>
  <si>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</si>
  <si>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</si>
  <si>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</si>
  <si>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</si>
  <si>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</si>
  <si>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</si>
  <si>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</si>
  <si>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</si>
  <si>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</si>
  <si>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</si>
  <si>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</si>
  <si>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</si>
  <si>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</si>
  <si>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</si>
  <si>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</si>
  <si>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</si>
  <si>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</si>
  <si>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</si>
  <si>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</si>
  <si>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</si>
  <si>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</si>
  <si>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</si>
  <si>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</si>
  <si>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</si>
  <si>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</si>
  <si>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</si>
  <si>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</si>
  <si>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</si>
  <si>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</si>
  <si>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</si>
  <si>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</si>
  <si>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</si>
  <si>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</si>
  <si>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</si>
  <si>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</si>
  <si>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</si>
  <si>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</si>
  <si>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</si>
  <si>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</si>
  <si>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</si>
  <si>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</si>
  <si>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</si>
  <si>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</si>
  <si>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</si>
  <si>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</si>
  <si>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</si>
  <si>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</si>
  <si>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</si>
  <si>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</si>
  <si>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</si>
  <si>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</si>
  <si>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</si>
  <si>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</si>
  <si>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</si>
  <si>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</si>
  <si>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</si>
  <si>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</si>
  <si>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</si>
  <si>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</si>
  <si>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</si>
  <si>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</si>
  <si>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</si>
  <si>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</si>
  <si>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</si>
  <si>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</si>
  <si>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</si>
  <si>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</si>
  <si>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</si>
  <si>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</si>
  <si>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</si>
  <si>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</si>
  <si>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</si>
  <si>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</si>
  <si>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</si>
  <si>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</si>
  <si>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</si>
  <si>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</si>
  <si>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</si>
  <si>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</si>
  <si>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</si>
  <si>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</si>
  <si>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</si>
  <si>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</si>
  <si>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</si>
  <si>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</si>
  <si>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</si>
  <si>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</si>
  <si>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</si>
  <si>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</si>
  <si>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</si>
  <si>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</si>
  <si>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</si>
  <si>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</si>
  <si>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</si>
  <si>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</si>
  <si>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</si>
  <si>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</si>
  <si>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</si>
  <si>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</si>
  <si>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</si>
  <si>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</si>
  <si>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</si>
  <si>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</si>
  <si>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</si>
  <si>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</si>
  <si>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</si>
  <si>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</si>
  <si>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</si>
  <si>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</si>
  <si>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</si>
  <si>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</si>
  <si>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</si>
  <si>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</si>
  <si>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</si>
  <si>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</si>
  <si>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</si>
  <si>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</si>
  <si>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</si>
  <si>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</si>
  <si>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</si>
  <si>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</si>
  <si>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</si>
  <si>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</si>
  <si>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</si>
  <si>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</si>
  <si>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</si>
  <si>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</si>
  <si>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</si>
  <si>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</si>
  <si>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</si>
  <si>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</si>
  <si>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</si>
  <si>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</si>
  <si>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</si>
  <si>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</si>
  <si>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</si>
  <si>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</si>
  <si>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</si>
  <si>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</si>
  <si>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</si>
  <si>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</si>
  <si>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</si>
  <si>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</si>
  <si>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</si>
  <si>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</si>
  <si>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</si>
  <si>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</si>
  <si>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</si>
  <si>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</si>
  <si>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</si>
  <si>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</si>
  <si>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</si>
  <si>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</si>
  <si>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</si>
  <si>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</si>
  <si>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</si>
  <si>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</si>
  <si>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</si>
  <si>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</si>
  <si>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</si>
  <si>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</si>
  <si>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</si>
  <si>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</si>
  <si>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</si>
  <si>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</si>
  <si>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</si>
  <si>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</si>
  <si>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</si>
  <si>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</si>
  <si>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</si>
  <si>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</si>
  <si>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</si>
  <si>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</si>
  <si>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</si>
  <si>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</si>
  <si>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</si>
  <si>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</si>
  <si>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</si>
  <si>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</si>
  <si>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</si>
  <si>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</si>
  <si>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</si>
  <si>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</si>
  <si>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</si>
  <si>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</si>
  <si>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</si>
  <si>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</si>
  <si>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</si>
  <si>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</si>
  <si>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</si>
  <si>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</si>
  <si>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</si>
  <si>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</si>
  <si>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</si>
  <si>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</si>
  <si>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</si>
  <si>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</si>
  <si>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</si>
  <si>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</si>
  <si>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</si>
  <si>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</si>
  <si>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</si>
  <si>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</si>
  <si>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</si>
  <si>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</si>
  <si>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</si>
  <si>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</si>
  <si>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</si>
  <si>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</si>
  <si>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</si>
  <si>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</si>
  <si>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</si>
  <si>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</si>
  <si>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</si>
  <si>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</si>
  <si>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</si>
  <si>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</si>
  <si>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</si>
  <si>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</si>
  <si>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</si>
  <si>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</si>
  <si>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</si>
  <si>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</si>
  <si>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</si>
  <si>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</si>
  <si>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</si>
  <si>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</si>
  <si>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</si>
  <si>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</si>
  <si>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</si>
  <si>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</si>
  <si>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</si>
  <si>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</si>
  <si>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</si>
  <si>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</si>
  <si>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</si>
  <si>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</si>
  <si>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</si>
  <si>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</si>
  <si>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</si>
  <si>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</si>
  <si>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</si>
  <si>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</si>
  <si>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</si>
  <si>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</si>
  <si>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</si>
  <si>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</si>
  <si>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</si>
  <si>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</si>
  <si>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</si>
  <si>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</si>
  <si>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</si>
  <si>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</si>
  <si>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</si>
  <si>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</si>
  <si>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</si>
  <si>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</si>
  <si>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</si>
  <si>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</si>
  <si>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</si>
  <si>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</si>
  <si>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</si>
  <si>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</si>
  <si>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</si>
  <si>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</si>
  <si>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</si>
  <si>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</si>
  <si>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</si>
  <si>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</si>
  <si>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</si>
  <si>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</si>
  <si>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</si>
  <si>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</si>
  <si>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</si>
  <si>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</si>
  <si>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</si>
  <si>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</si>
  <si>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</si>
  <si>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</si>
  <si>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</si>
  <si>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</si>
  <si>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</si>
  <si>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</si>
  <si>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</si>
  <si>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</si>
  <si>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</si>
  <si>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</si>
  <si>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</si>
  <si>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</si>
  <si>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</si>
  <si>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</si>
  <si>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</si>
  <si>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</si>
  <si>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</si>
  <si>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</si>
  <si>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</si>
  <si>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</si>
  <si>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</si>
  <si>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</si>
  <si>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</si>
  <si>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</si>
  <si>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</si>
  <si>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</si>
  <si>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</si>
  <si>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</si>
  <si>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</si>
  <si>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</si>
  <si>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</si>
  <si>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</si>
  <si>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</si>
  <si>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</si>
  <si>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</si>
  <si>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</si>
  <si>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</si>
  <si>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</si>
  <si>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</si>
  <si>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</si>
  <si>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</si>
  <si>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</si>
  <si>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</si>
  <si>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</si>
  <si>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</si>
  <si>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</si>
  <si>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</si>
  <si>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</si>
  <si>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</si>
  <si>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</si>
  <si>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</si>
  <si>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</si>
  <si>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</si>
  <si>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</si>
  <si>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</si>
  <si>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</si>
  <si>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</si>
  <si>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</si>
  <si>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</si>
  <si>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</si>
  <si>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</si>
  <si>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</si>
  <si>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</si>
  <si>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</si>
  <si>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</si>
  <si>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</si>
  <si>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</si>
  <si>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</si>
  <si>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</si>
  <si>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</si>
  <si>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</si>
  <si>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</si>
  <si>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</si>
  <si>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</si>
  <si>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</si>
  <si>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</si>
  <si>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</si>
  <si>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</si>
  <si>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</si>
  <si>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</si>
  <si>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</si>
  <si>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</si>
  <si>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</si>
  <si>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</si>
  <si>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</si>
  <si>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</si>
  <si>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</si>
  <si>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</si>
  <si>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</si>
  <si>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</si>
  <si>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</si>
  <si>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</si>
  <si>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</si>
  <si>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</si>
  <si>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</si>
  <si>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</si>
  <si>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</si>
  <si>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</si>
  <si>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</si>
  <si>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</si>
  <si>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</si>
  <si>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</si>
  <si>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</si>
  <si>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</si>
  <si>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</si>
  <si>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</si>
  <si>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</si>
  <si>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</si>
  <si>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</si>
  <si>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</si>
  <si>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</si>
  <si>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</si>
  <si>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</si>
  <si>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</si>
  <si>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</si>
  <si>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</si>
  <si>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</si>
  <si>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</si>
  <si>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</si>
  <si>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</si>
  <si>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</si>
  <si>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</si>
  <si>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</si>
  <si>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</si>
  <si>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</si>
  <si>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</si>
  <si>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</si>
  <si>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</si>
  <si>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</si>
  <si>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</si>
  <si>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</si>
  <si>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</si>
  <si>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</si>
  <si>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</si>
  <si>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</si>
  <si>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</si>
  <si>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</si>
  <si>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</si>
  <si>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</si>
  <si>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</si>
  <si>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</si>
  <si>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</si>
  <si>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</si>
  <si>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</si>
  <si>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</si>
  <si>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</si>
  <si>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</si>
  <si>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</si>
  <si>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</si>
  <si>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</si>
  <si>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</si>
  <si>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</si>
  <si>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</si>
  <si>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</si>
  <si>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</si>
  <si>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</si>
  <si>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</si>
  <si>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</si>
  <si>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</si>
  <si>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</si>
  <si>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</si>
  <si>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</si>
  <si>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</si>
  <si>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</si>
  <si>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</si>
  <si>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</si>
  <si>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</si>
  <si>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</si>
  <si>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</si>
  <si>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</si>
  <si>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</si>
  <si>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</si>
  <si>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</si>
  <si>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</si>
  <si>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</si>
  <si>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</si>
  <si>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</si>
  <si>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</si>
  <si>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</si>
  <si>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</si>
  <si>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</si>
  <si>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</si>
  <si>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</si>
  <si>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</si>
  <si>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</si>
  <si>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</si>
  <si>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</si>
  <si>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</si>
  <si>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</si>
  <si>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</si>
  <si>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</si>
  <si>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</si>
  <si>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</si>
  <si>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</si>
  <si>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</si>
  <si>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</si>
  <si>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</si>
  <si>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</si>
  <si>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</si>
  <si>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</si>
  <si>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</si>
  <si>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</si>
  <si>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</si>
  <si>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</si>
  <si>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</si>
  <si>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</si>
  <si>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</si>
  <si>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</si>
  <si>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</si>
  <si>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</si>
  <si>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</si>
  <si>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</si>
  <si>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</si>
  <si>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</si>
  <si>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</si>
  <si>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</si>
  <si>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</si>
  <si>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</si>
  <si>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</si>
  <si>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</si>
  <si>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</si>
  <si>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</si>
  <si>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</si>
  <si>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</si>
  <si>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</si>
  <si>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</si>
  <si>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</si>
  <si>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</si>
  <si>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</si>
  <si>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</si>
  <si>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</si>
  <si>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</si>
  <si>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</si>
  <si>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</si>
  <si>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</si>
  <si>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</si>
  <si>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</si>
  <si>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</si>
  <si>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</si>
  <si>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</si>
  <si>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</si>
  <si>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</si>
  <si>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</si>
  <si>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</si>
  <si>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</si>
  <si>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</si>
  <si>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</si>
  <si>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</si>
  <si>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</si>
  <si>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</si>
  <si>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</si>
  <si>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</si>
  <si>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</si>
  <si>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</si>
  <si>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</si>
  <si>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</si>
  <si>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</si>
  <si>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</si>
  <si>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</si>
  <si>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</si>
  <si>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</si>
  <si>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</si>
  <si>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</si>
  <si>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</si>
  <si>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</si>
  <si>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</si>
  <si>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</si>
  <si>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</si>
  <si>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</si>
  <si>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</si>
  <si>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</si>
  <si>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</si>
  <si>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</si>
  <si>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</si>
  <si>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</si>
  <si>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</si>
  <si>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</si>
  <si>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</si>
  <si>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</si>
  <si>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</si>
  <si>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</si>
  <si>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</si>
  <si>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</si>
  <si>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</si>
  <si>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</si>
  <si>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</si>
  <si>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</si>
  <si>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</si>
  <si>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</si>
  <si>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</si>
  <si>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</si>
  <si>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</si>
  <si>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</si>
  <si>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</si>
  <si>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</si>
  <si>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</si>
  <si>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</si>
  <si>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</si>
  <si>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</si>
  <si>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</si>
  <si>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</si>
  <si>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</si>
  <si>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</si>
  <si>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</si>
  <si>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</si>
  <si>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</si>
  <si>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</si>
  <si>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</si>
  <si>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</si>
  <si>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</si>
  <si>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</si>
  <si>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</si>
  <si>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</si>
  <si>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</si>
  <si>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</si>
  <si>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</si>
  <si>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</si>
  <si>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</si>
  <si>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</si>
  <si>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</si>
  <si>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</si>
  <si>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</si>
  <si>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</si>
  <si>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</si>
  <si>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</si>
  <si>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</si>
  <si>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</si>
  <si>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</si>
  <si>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</si>
  <si>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</si>
  <si>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</si>
  <si>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</si>
  <si>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</si>
  <si>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</si>
  <si>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</si>
  <si>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</si>
  <si>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</si>
  <si>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</si>
  <si>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</si>
  <si>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</si>
  <si>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</si>
  <si>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</si>
  <si>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</si>
  <si>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</si>
  <si>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</si>
  <si>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</si>
  <si>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</si>
  <si>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</si>
  <si>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</si>
  <si>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</si>
  <si>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</si>
  <si>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</si>
  <si>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</si>
  <si>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</si>
  <si>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</si>
  <si>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</si>
  <si>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</si>
  <si>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</si>
  <si>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</si>
  <si>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</si>
  <si>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</si>
  <si>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</si>
  <si>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</si>
  <si>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</si>
  <si>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</si>
  <si>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</si>
  <si>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</si>
  <si>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</si>
  <si>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</si>
  <si>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</si>
  <si>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</si>
  <si>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</si>
  <si>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</si>
  <si>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</si>
  <si>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</si>
  <si>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</si>
  <si>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</si>
  <si>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</si>
  <si>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</si>
  <si>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</si>
  <si>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</si>
  <si>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</si>
  <si>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</si>
  <si>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</si>
  <si>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</si>
  <si>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</si>
  <si>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</si>
  <si>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</si>
  <si>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</si>
  <si>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</si>
  <si>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</si>
  <si>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</si>
  <si>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</si>
  <si>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</si>
  <si>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</si>
  <si>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</si>
  <si>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</si>
  <si>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</si>
  <si>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</si>
  <si>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</si>
  <si>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</si>
  <si>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</si>
  <si>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</si>
  <si>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</si>
  <si>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</si>
  <si>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</si>
  <si>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</si>
  <si>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</si>
  <si>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</si>
  <si>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</si>
  <si>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</si>
  <si>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</si>
  <si>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</si>
  <si>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</si>
  <si>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</si>
  <si>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</si>
  <si>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</si>
  <si>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</si>
  <si>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</si>
  <si>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</si>
  <si>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</si>
  <si>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</si>
  <si>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</si>
  <si>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</si>
  <si>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</si>
  <si>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</si>
  <si>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</si>
  <si>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</si>
  <si>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</si>
  <si>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</si>
  <si>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</si>
  <si>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</si>
  <si>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</si>
  <si>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</si>
  <si>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</si>
  <si>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</si>
  <si>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</si>
  <si>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</si>
  <si>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</si>
  <si>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</si>
  <si>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</si>
  <si>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</si>
  <si>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</si>
  <si>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</si>
  <si>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</si>
  <si>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</si>
  <si>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</si>
  <si>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</si>
  <si>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</si>
  <si>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</si>
  <si>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</si>
  <si>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</si>
  <si>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</si>
  <si>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</si>
  <si>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</si>
  <si>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</si>
  <si>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</si>
  <si>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</si>
  <si>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</si>
  <si>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</si>
  <si>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</si>
  <si>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</si>
  <si>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</si>
  <si>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</si>
  <si>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</si>
  <si>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</si>
  <si>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</si>
  <si>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</si>
  <si>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</si>
  <si>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</si>
  <si>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</si>
  <si>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</si>
  <si>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</si>
  <si>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</si>
  <si>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</si>
  <si>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</si>
  <si>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</si>
  <si>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</si>
  <si>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</si>
  <si>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</si>
  <si>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</si>
  <si>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</si>
  <si>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</si>
  <si>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</si>
  <si>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</si>
  <si>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</si>
  <si>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</si>
  <si>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</si>
  <si>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</si>
  <si>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</si>
  <si>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</si>
  <si>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</si>
  <si>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</si>
  <si>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</si>
  <si>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</si>
  <si>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</si>
  <si>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</si>
  <si>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</si>
  <si>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</si>
  <si>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</si>
  <si>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</si>
  <si>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</si>
  <si>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</si>
  <si>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</si>
  <si>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</si>
  <si>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</si>
  <si>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</si>
  <si>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</si>
  <si>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</si>
  <si>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</si>
  <si>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</si>
  <si>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</si>
  <si>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</si>
  <si>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</si>
  <si>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</si>
  <si>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</si>
  <si>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</si>
  <si>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</si>
  <si>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</si>
  <si>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</si>
  <si>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</si>
  <si>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</si>
  <si>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</si>
  <si>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</si>
  <si>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</si>
  <si>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</si>
  <si>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</si>
  <si>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</si>
  <si>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</si>
  <si>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</si>
  <si>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</si>
  <si>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</si>
  <si>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</si>
  <si>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</si>
  <si>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</si>
  <si>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</si>
  <si>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</si>
  <si>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</si>
  <si>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</si>
  <si>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</si>
  <si>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</si>
  <si>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</si>
  <si>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</si>
  <si>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</si>
  <si>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</si>
  <si>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</si>
  <si>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</si>
  <si>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</si>
  <si>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</si>
  <si>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</si>
  <si>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</si>
  <si>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</si>
  <si>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</si>
  <si>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</si>
  <si>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</si>
  <si>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</si>
  <si>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</si>
  <si>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</si>
  <si>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</si>
  <si>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</si>
  <si>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</si>
  <si>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</si>
  <si>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</si>
  <si>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</si>
  <si>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</si>
  <si>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</si>
  <si>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</si>
  <si>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</si>
  <si>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</si>
  <si>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</si>
  <si>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</si>
  <si>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</si>
  <si>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</si>
  <si>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</si>
  <si>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</si>
  <si>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</si>
  <si>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</si>
  <si>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</si>
  <si>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</si>
  <si>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</si>
  <si>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</si>
  <si>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</si>
  <si>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</si>
  <si>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</si>
  <si>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</si>
  <si>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</si>
  <si>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</si>
  <si>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</si>
  <si>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</si>
  <si>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</si>
  <si>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</si>
  <si>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</si>
  <si>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</si>
  <si>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</si>
  <si>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</si>
  <si>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</si>
  <si>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</si>
  <si>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</si>
  <si>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</si>
  <si>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</si>
  <si>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</si>
  <si>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</si>
  <si>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</si>
  <si>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</si>
  <si>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</si>
  <si>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</si>
  <si>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</si>
  <si>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</si>
  <si>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</si>
  <si>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</si>
  <si>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</si>
  <si>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</si>
  <si>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</si>
  <si>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</si>
  <si>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</si>
  <si>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</si>
  <si>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</si>
  <si>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</si>
  <si>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</si>
  <si>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</si>
  <si>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</si>
  <si>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</si>
  <si>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</si>
  <si>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</si>
  <si>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</si>
  <si>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</si>
  <si>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</si>
  <si>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</si>
  <si>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</si>
  <si>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</si>
  <si>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</si>
  <si>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</si>
  <si>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</si>
  <si>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</si>
  <si>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</si>
  <si>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</si>
  <si>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</si>
  <si>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</si>
  <si>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</si>
  <si>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</si>
  <si>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</si>
  <si>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</si>
  <si>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</si>
  <si>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</si>
  <si>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</si>
  <si>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</si>
  <si>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</si>
  <si>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</si>
  <si>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</si>
  <si>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</si>
  <si>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</si>
  <si>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</si>
  <si>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</si>
  <si>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</si>
  <si>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</si>
  <si>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</si>
  <si>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</si>
  <si>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</si>
  <si>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</si>
  <si>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</si>
  <si>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</si>
  <si>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</si>
  <si>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</si>
  <si>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</si>
  <si>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</si>
  <si>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</si>
  <si>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</si>
  <si>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</si>
  <si>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</si>
  <si>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</si>
  <si>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</si>
  <si>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</si>
  <si>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</si>
  <si>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</si>
  <si>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</si>
  <si>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</si>
  <si>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</si>
  <si>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</si>
  <si>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</si>
  <si>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</si>
  <si>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</si>
  <si>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</si>
  <si>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</si>
  <si>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</si>
  <si>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</si>
  <si>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</si>
  <si>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</si>
  <si>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</si>
  <si>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</si>
  <si>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</si>
  <si>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</si>
  <si>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</si>
  <si>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</si>
  <si>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</si>
  <si>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</si>
  <si>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</si>
  <si>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</si>
  <si>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</si>
  <si>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</si>
  <si>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</si>
  <si>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</si>
  <si>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</si>
  <si>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</si>
  <si>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</si>
  <si>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</si>
  <si>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</si>
  <si>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</si>
  <si>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</si>
  <si>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</si>
  <si>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</si>
  <si>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</si>
  <si>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</si>
  <si>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</si>
  <si>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</si>
  <si>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</si>
  <si>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</si>
  <si>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</si>
  <si>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</si>
  <si>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</si>
  <si>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</si>
  <si>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</si>
  <si>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</si>
  <si>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</si>
  <si>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</si>
  <si>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</si>
  <si>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</si>
  <si>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</si>
  <si>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</si>
  <si>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</si>
  <si>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</si>
  <si>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</si>
  <si>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</si>
  <si>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</si>
  <si>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</si>
  <si>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</si>
  <si>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</si>
  <si>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</si>
  <si>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</si>
  <si>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</si>
  <si>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</si>
  <si>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</si>
  <si>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</si>
  <si>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</si>
  <si>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</si>
  <si>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</si>
  <si>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</si>
  <si>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</si>
  <si>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</si>
  <si>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</si>
  <si>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</si>
  <si>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</si>
  <si>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</si>
  <si>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</si>
  <si>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</si>
  <si>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</si>
  <si>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</si>
  <si>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</si>
  <si>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</si>
  <si>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</si>
  <si>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</si>
  <si>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</si>
  <si>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</si>
  <si>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</si>
  <si>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</si>
  <si>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</si>
  <si>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</si>
  <si>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</si>
  <si>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</si>
  <si>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</si>
  <si>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</si>
  <si>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</si>
  <si>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</si>
  <si>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</si>
  <si>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</si>
  <si>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</si>
  <si>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</si>
  <si>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</si>
  <si>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</si>
  <si>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</si>
  <si>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</si>
  <si>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</si>
  <si>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</si>
  <si>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</si>
  <si>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</si>
  <si>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</si>
  <si>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</si>
  <si>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</si>
  <si>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</si>
  <si>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</si>
  <si>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</si>
  <si>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</si>
  <si>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</si>
  <si>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</si>
  <si>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</si>
  <si>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</si>
  <si>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</si>
  <si>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</si>
  <si>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</si>
  <si>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</si>
  <si>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</si>
  <si>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</si>
  <si>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</si>
  <si>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</si>
  <si>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</si>
  <si>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</si>
  <si>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</si>
  <si>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</si>
  <si>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</si>
  <si>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</si>
  <si>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</si>
  <si>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</si>
  <si>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</si>
  <si>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</si>
  <si>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</si>
  <si>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</si>
  <si>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</si>
  <si>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</si>
  <si>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</si>
  <si>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</si>
  <si>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</si>
  <si>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</si>
  <si>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</si>
  <si>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</si>
  <si>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</si>
  <si>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</si>
  <si>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</si>
  <si>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</si>
  <si>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</si>
  <si>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</si>
  <si>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</si>
  <si>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</si>
  <si>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</si>
  <si>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</si>
  <si>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</si>
  <si>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</si>
  <si>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</si>
  <si>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</si>
  <si>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</si>
  <si>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</si>
  <si>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</si>
  <si>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</si>
  <si>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</si>
  <si>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</si>
  <si>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</si>
  <si>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</si>
  <si>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</si>
  <si>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</si>
  <si>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</si>
  <si>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</si>
  <si>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</si>
  <si>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</si>
  <si>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</si>
  <si>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</si>
  <si>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</si>
  <si>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</si>
  <si>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</si>
  <si>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</si>
  <si>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</si>
  <si>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</si>
  <si>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</si>
  <si>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</si>
  <si>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</si>
  <si>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</si>
  <si>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</si>
  <si>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</si>
  <si>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</si>
  <si>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</si>
  <si>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</si>
  <si>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</si>
  <si>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</si>
  <si>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</si>
  <si>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</si>
  <si>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</si>
  <si>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</si>
  <si>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</si>
  <si>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</si>
  <si>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</si>
  <si>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</si>
  <si>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</si>
  <si>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</si>
  <si>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</si>
  <si>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</si>
  <si>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</si>
  <si>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</si>
  <si>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</si>
  <si>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</si>
  <si>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</si>
  <si>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</si>
  <si>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</si>
  <si>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</si>
  <si>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</si>
  <si>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</si>
  <si>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</si>
  <si>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</si>
  <si>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</si>
  <si>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</si>
  <si>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</si>
  <si>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</si>
  <si>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</si>
  <si>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</si>
  <si>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</si>
  <si>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</si>
  <si>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</si>
  <si>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</si>
  <si>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</si>
  <si>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</si>
  <si>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</si>
  <si>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</si>
  <si>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</si>
  <si>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</si>
  <si>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</si>
  <si>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</si>
  <si>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</si>
  <si>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</si>
  <si>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</si>
  <si>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</si>
  <si>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</si>
  <si>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</si>
  <si>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</si>
  <si>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</si>
  <si>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</si>
  <si>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</si>
  <si>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</si>
  <si>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</si>
  <si>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</si>
  <si>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</si>
  <si>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</si>
  <si>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</si>
  <si>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</si>
  <si>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</si>
  <si>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</si>
  <si>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</si>
  <si>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</si>
  <si>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</si>
  <si>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</si>
  <si>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</si>
  <si>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</si>
  <si>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</si>
  <si>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</si>
  <si>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</si>
  <si>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</si>
  <si>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</si>
  <si>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</si>
  <si>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</si>
  <si>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</si>
  <si>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</si>
  <si>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</si>
  <si>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</si>
  <si>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</si>
  <si>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</si>
  <si>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</si>
  <si>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</si>
  <si>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</si>
  <si>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</si>
  <si>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</si>
  <si>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</si>
  <si>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</si>
  <si>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</si>
  <si>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</si>
  <si>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</si>
  <si>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</si>
  <si>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</si>
  <si>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</si>
  <si>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</si>
  <si>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</si>
  <si>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</si>
  <si>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</si>
  <si>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</si>
  <si>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</si>
  <si>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</si>
  <si>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</si>
  <si>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</si>
  <si>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</si>
  <si>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</si>
  <si>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</si>
  <si>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</si>
  <si>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</si>
  <si>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</si>
  <si>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</si>
  <si>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</si>
  <si>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</si>
  <si>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</si>
  <si>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</si>
  <si>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</si>
  <si>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</si>
  <si>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</si>
  <si>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</si>
  <si>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</si>
  <si>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</si>
  <si>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</si>
  <si>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</si>
  <si>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</si>
  <si>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</si>
  <si>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</si>
  <si>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</si>
  <si>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</si>
  <si>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</si>
  <si>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</si>
  <si>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</si>
  <si>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</si>
  <si>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</si>
  <si>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</si>
  <si>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</si>
  <si>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</si>
  <si>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</si>
  <si>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</si>
  <si>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</si>
  <si>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</si>
  <si>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</si>
  <si>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</si>
  <si>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</si>
  <si>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</si>
  <si>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</si>
  <si>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</si>
  <si>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</si>
  <si>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</si>
  <si>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</si>
  <si>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</si>
  <si>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</si>
  <si>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</si>
  <si>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</si>
  <si>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</si>
  <si>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</si>
  <si>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</si>
  <si>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</si>
  <si>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</si>
  <si>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</si>
  <si>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</si>
  <si>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</si>
  <si>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</si>
  <si>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</si>
  <si>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</si>
  <si>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</si>
  <si>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</si>
  <si>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</si>
  <si>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</si>
  <si>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</si>
  <si>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</si>
  <si>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</si>
  <si>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</si>
  <si>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</si>
  <si>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</si>
  <si>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</si>
  <si>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</si>
  <si>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</si>
  <si>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</si>
  <si>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</si>
  <si>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</si>
  <si>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</si>
  <si>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</si>
  <si>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</si>
  <si>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</si>
  <si>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</si>
  <si>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</si>
  <si>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</si>
  <si>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</si>
  <si>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</si>
  <si>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</si>
  <si>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</si>
  <si>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</si>
  <si>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</si>
  <si>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</si>
  <si>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</si>
  <si>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</si>
  <si>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</si>
  <si>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</si>
  <si>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</si>
  <si>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</si>
  <si>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</si>
  <si>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</si>
  <si>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</si>
  <si>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</si>
  <si>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</si>
  <si>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</si>
  <si>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</si>
  <si>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</si>
  <si>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</si>
  <si>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</si>
  <si>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</si>
  <si>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</si>
  <si>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</si>
  <si>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</si>
  <si>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</si>
  <si>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</si>
  <si>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</si>
  <si>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</si>
  <si>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</si>
  <si>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</si>
  <si>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</si>
  <si>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</si>
  <si>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</si>
  <si>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</si>
  <si>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</si>
  <si>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</si>
  <si>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</si>
  <si>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</si>
  <si>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</si>
  <si>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</si>
  <si>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</si>
  <si>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</si>
  <si>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</si>
  <si>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</si>
  <si>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</si>
  <si>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</si>
  <si>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</si>
  <si>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</si>
  <si>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</si>
  <si>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</si>
  <si>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</si>
  <si>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</si>
  <si>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</si>
  <si>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</si>
  <si>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</si>
  <si>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</si>
  <si>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</si>
  <si>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</si>
  <si>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</si>
  <si>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</si>
  <si>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</si>
  <si>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</si>
  <si>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</si>
  <si>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</si>
  <si>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</si>
  <si>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</si>
  <si>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</si>
  <si>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</si>
  <si>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</si>
  <si>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</si>
  <si>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</si>
  <si>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</si>
  <si>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</si>
  <si>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</si>
  <si>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</si>
  <si>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</si>
  <si>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</si>
  <si>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</si>
  <si>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</si>
  <si>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</si>
  <si>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</si>
  <si>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</si>
  <si>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</si>
  <si>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</si>
  <si>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</si>
  <si>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</si>
  <si>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</si>
  <si>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</si>
  <si>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</si>
  <si>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</si>
  <si>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</si>
  <si>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</si>
  <si>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</si>
  <si>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</si>
  <si>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</si>
  <si>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</si>
  <si>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</si>
  <si>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</si>
  <si>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</si>
  <si>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</si>
  <si>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</si>
  <si>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</si>
  <si>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</si>
  <si>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</si>
  <si>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</si>
  <si>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</si>
  <si>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</si>
  <si>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</si>
  <si>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</si>
  <si>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</si>
  <si>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</si>
  <si>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</si>
  <si>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</si>
  <si>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</si>
  <si>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</si>
  <si>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</si>
  <si>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</si>
  <si>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</si>
  <si>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</si>
  <si>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</si>
  <si>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</si>
  <si>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</si>
  <si>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</si>
  <si>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</si>
  <si>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</si>
  <si>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</si>
  <si>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</si>
  <si>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</si>
  <si>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</si>
  <si>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</si>
  <si>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</si>
  <si>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</si>
  <si>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</si>
  <si>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</si>
  <si>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</si>
  <si>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</si>
  <si>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</si>
  <si>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</si>
  <si>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</si>
  <si>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</si>
  <si>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</si>
  <si>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</si>
  <si>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</si>
  <si>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</si>
  <si>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</si>
  <si>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</si>
  <si>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</si>
  <si>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</si>
  <si>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</si>
  <si>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</si>
  <si>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</si>
  <si>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</si>
  <si>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</si>
  <si>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</si>
  <si>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</si>
  <si>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</si>
  <si>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</si>
  <si>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</si>
  <si>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</si>
  <si>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</si>
  <si>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</si>
  <si>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</si>
  <si>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</si>
  <si>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</si>
  <si>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</si>
  <si>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</si>
  <si>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</si>
  <si>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</si>
  <si>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</si>
  <si>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</si>
  <si>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</si>
  <si>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</si>
  <si>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</si>
  <si>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</si>
  <si>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</si>
  <si>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</si>
  <si>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</si>
  <si>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</si>
  <si>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</si>
  <si>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</si>
  <si>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</si>
  <si>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</si>
  <si>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</si>
  <si>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</si>
  <si>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</si>
  <si>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</si>
  <si>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</si>
  <si>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</si>
  <si>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</si>
  <si>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</si>
  <si>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</si>
  <si>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</si>
  <si>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</si>
  <si>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</si>
  <si>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</si>
  <si>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</si>
  <si>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</si>
  <si>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</si>
  <si>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</si>
  <si>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</si>
  <si>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</si>
  <si>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</si>
  <si>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</si>
  <si>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</si>
  <si>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</si>
  <si>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</si>
  <si>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</si>
  <si>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</si>
  <si>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</si>
  <si>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</si>
  <si>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</si>
  <si>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</si>
  <si>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</si>
  <si>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</si>
  <si>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</si>
  <si>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</si>
  <si>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</si>
  <si>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</si>
  <si>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</si>
  <si>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</si>
  <si>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</si>
  <si>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</si>
  <si>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</si>
  <si>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</si>
  <si>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</si>
  <si>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</si>
  <si>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</si>
  <si>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</si>
  <si>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</si>
  <si>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</si>
  <si>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</si>
  <si>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</si>
  <si>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</si>
  <si>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</si>
  <si>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</si>
  <si>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</si>
  <si>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</si>
  <si>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</si>
  <si>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</si>
  <si>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</si>
  <si>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</si>
  <si>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</si>
  <si>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</si>
  <si>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</si>
  <si>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</si>
  <si>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</si>
  <si>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</si>
  <si>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</si>
  <si>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</si>
  <si>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</si>
  <si>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</si>
  <si>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</si>
  <si>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</si>
  <si>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</si>
  <si>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</si>
  <si>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</si>
  <si>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</si>
  <si>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</si>
  <si>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</si>
  <si>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</si>
  <si>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</si>
  <si>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</si>
  <si>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</si>
  <si>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</si>
  <si>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</si>
  <si>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</si>
  <si>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</si>
  <si>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</si>
  <si>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</si>
  <si>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</si>
  <si>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</si>
  <si>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</si>
  <si>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</si>
  <si>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</si>
  <si>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</si>
  <si>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</si>
  <si>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</si>
  <si>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</si>
  <si>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</si>
  <si>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</si>
  <si>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</si>
  <si>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</si>
  <si>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</si>
  <si>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</si>
  <si>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</si>
  <si>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</si>
  <si>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</si>
  <si>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</si>
  <si>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</si>
  <si>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</si>
  <si>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</si>
  <si>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</si>
  <si>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</si>
  <si>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</si>
  <si>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</si>
  <si>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</si>
  <si>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</si>
  <si>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</si>
  <si>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</si>
  <si>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</si>
  <si>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</si>
  <si>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</si>
  <si>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</si>
  <si>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</si>
  <si>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</si>
  <si>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</si>
  <si>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</si>
  <si>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</si>
  <si>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</si>
  <si>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</si>
  <si>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</si>
  <si>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</si>
  <si>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</si>
  <si>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</si>
  <si>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</si>
  <si>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</si>
  <si>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</si>
  <si>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</si>
  <si>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</si>
  <si>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</si>
  <si>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</si>
  <si>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</si>
  <si>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</si>
  <si>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</si>
  <si>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</si>
  <si>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</si>
  <si>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</si>
  <si>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</si>
  <si>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</si>
  <si>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</si>
  <si>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</si>
  <si>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</si>
  <si>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</si>
  <si>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</si>
  <si>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</si>
  <si>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</si>
  <si>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</si>
  <si>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</si>
  <si>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</si>
  <si>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</si>
  <si>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</si>
  <si>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</si>
  <si>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</si>
  <si>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</si>
  <si>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</si>
  <si>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</si>
  <si>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</si>
  <si>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</si>
  <si>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</si>
  <si>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</si>
  <si>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</si>
  <si>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</si>
  <si>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</si>
  <si>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</si>
  <si>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</si>
  <si>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</si>
  <si>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</si>
  <si>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</si>
  <si>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</si>
  <si>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</si>
  <si>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</si>
  <si>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</si>
  <si>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</si>
  <si>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</si>
  <si>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</si>
  <si>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</si>
  <si>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</si>
  <si>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</si>
  <si>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</si>
  <si>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</si>
  <si>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</si>
  <si>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</si>
  <si>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</si>
  <si>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</si>
  <si>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</si>
  <si>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</si>
  <si>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</si>
  <si>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</si>
  <si>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</si>
  <si>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</si>
  <si>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</si>
  <si>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</si>
  <si>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</si>
  <si>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</si>
  <si>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</si>
  <si>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</si>
  <si>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</si>
  <si>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</si>
  <si>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</si>
  <si>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</si>
  <si>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</si>
  <si>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</si>
  <si>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</si>
  <si>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</si>
  <si>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</si>
  <si>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</si>
  <si>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</si>
  <si>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</si>
  <si>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</si>
  <si>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</si>
  <si>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</si>
  <si>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</si>
  <si>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</si>
  <si>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</si>
  <si>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</si>
  <si>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</si>
  <si>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</si>
  <si>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</si>
  <si>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</si>
  <si>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</si>
  <si>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</si>
  <si>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</si>
  <si>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</si>
  <si>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</si>
  <si>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</si>
  <si>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</si>
  <si>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</si>
  <si>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</si>
  <si>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</si>
  <si>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</si>
  <si>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</si>
  <si>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</si>
  <si>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</si>
  <si>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</si>
  <si>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</si>
  <si>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</si>
  <si>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</si>
  <si>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</si>
  <si>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</si>
  <si>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</si>
  <si>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</si>
  <si>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</si>
  <si>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</si>
  <si>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</si>
  <si>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</si>
  <si>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</si>
  <si>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</si>
  <si>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</si>
  <si>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</si>
  <si>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</si>
  <si>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</si>
  <si>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</si>
  <si>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</si>
  <si>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</si>
  <si>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</si>
  <si>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</si>
  <si>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</si>
  <si>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</si>
  <si>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</si>
  <si>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</si>
  <si>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</si>
  <si>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</si>
  <si>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</si>
  <si>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</si>
  <si>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</si>
  <si>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</si>
  <si>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</si>
  <si>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</si>
  <si>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</si>
  <si>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</si>
  <si>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</si>
  <si>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</si>
  <si>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</si>
  <si>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</si>
  <si>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</si>
  <si>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</si>
  <si>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</si>
  <si>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</si>
  <si>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</si>
  <si>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</si>
  <si>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</si>
  <si>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</si>
  <si>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</si>
  <si>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</si>
  <si>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</si>
  <si>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</si>
  <si>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</si>
  <si>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</si>
  <si>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</si>
  <si>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</si>
  <si>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</si>
  <si>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</si>
  <si>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</si>
  <si>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</si>
  <si>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</si>
  <si>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</si>
  <si>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</si>
  <si>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</si>
  <si>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</si>
  <si>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</si>
  <si>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</si>
  <si>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</si>
  <si>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</si>
  <si>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</si>
  <si>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</si>
  <si>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</si>
  <si>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</si>
  <si>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</si>
  <si>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</si>
  <si>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</si>
  <si>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</si>
  <si>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</si>
  <si>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</si>
  <si>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</si>
  <si>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</si>
  <si>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</si>
  <si>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</si>
  <si>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</si>
  <si>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</si>
  <si>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</si>
  <si>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</si>
  <si>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</si>
  <si>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</si>
  <si>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</si>
  <si>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</si>
  <si>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</si>
  <si>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</si>
  <si>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</si>
  <si>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</si>
  <si>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</si>
  <si>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</si>
  <si>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</si>
  <si>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</si>
  <si>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</si>
  <si>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</si>
  <si>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</si>
  <si>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</si>
  <si>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</si>
  <si>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</si>
  <si>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</si>
  <si>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</si>
  <si>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</si>
  <si>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</si>
  <si>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</si>
  <si>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</si>
  <si>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</si>
  <si>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</si>
  <si>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</si>
  <si>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</si>
  <si>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</si>
  <si>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</si>
  <si>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</si>
  <si>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</si>
  <si>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</si>
  <si>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</si>
  <si>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</si>
  <si>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</si>
  <si>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</si>
  <si>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</si>
  <si>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</si>
  <si>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</si>
  <si>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</si>
  <si>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</si>
  <si>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</si>
  <si>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</si>
  <si>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</si>
  <si>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</si>
  <si>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</si>
  <si>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</si>
  <si>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</si>
  <si>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</si>
  <si>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</si>
  <si>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</si>
  <si>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</si>
  <si>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</si>
  <si>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</si>
  <si>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</si>
  <si>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</si>
  <si>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</si>
  <si>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</si>
  <si>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</si>
  <si>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</si>
  <si>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</si>
  <si>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</si>
  <si>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</si>
  <si>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</si>
  <si>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</si>
  <si>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</si>
  <si>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</si>
  <si>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</si>
  <si>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</si>
  <si>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</si>
  <si>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</si>
  <si>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</si>
  <si>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</si>
  <si>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</si>
  <si>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</si>
  <si>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</si>
  <si>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</si>
  <si>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</si>
  <si>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</si>
  <si>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</si>
  <si>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</si>
  <si>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</si>
  <si>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</si>
  <si>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</si>
  <si>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</si>
  <si>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</si>
  <si>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</si>
  <si>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</si>
  <si>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</si>
  <si>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</si>
  <si>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</si>
  <si>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</si>
  <si>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</si>
  <si>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</si>
  <si>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</si>
  <si>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</si>
  <si>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</si>
  <si>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</si>
  <si>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</si>
  <si>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</si>
  <si>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</si>
  <si>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</si>
  <si>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</si>
  <si>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</si>
  <si>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</si>
  <si>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</si>
  <si>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</si>
  <si>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</si>
  <si>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</si>
  <si>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</si>
  <si>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</si>
  <si>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</si>
  <si>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</si>
  <si>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</si>
  <si>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</si>
  <si>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</si>
  <si>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</si>
  <si>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</si>
  <si>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</si>
  <si>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</si>
  <si>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</si>
  <si>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</si>
  <si>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</si>
  <si>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</si>
  <si>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</si>
  <si>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</si>
  <si>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</si>
  <si>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</si>
  <si>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</si>
  <si>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</si>
  <si>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</si>
  <si>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</si>
  <si>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</si>
  <si>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</si>
  <si>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</si>
  <si>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</si>
  <si>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</si>
  <si>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</si>
  <si>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</si>
  <si>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</si>
  <si>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</si>
  <si>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</si>
  <si>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</si>
  <si>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</si>
  <si>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</si>
  <si>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</si>
  <si>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</si>
  <si>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</si>
  <si>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</si>
  <si>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</si>
  <si>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</si>
  <si>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</si>
  <si>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</si>
  <si>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</si>
  <si>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</si>
  <si>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</si>
  <si>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</si>
  <si>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</si>
  <si>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</si>
  <si>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</si>
  <si>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</si>
  <si>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</si>
  <si>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</si>
  <si>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</si>
  <si>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</si>
  <si>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</si>
  <si>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</si>
  <si>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</si>
  <si>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</si>
  <si>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</si>
  <si>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</si>
  <si>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</si>
  <si>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</si>
  <si>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</si>
  <si>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</si>
  <si>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</si>
  <si>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</si>
  <si>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</si>
  <si>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</si>
  <si>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</si>
  <si>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</si>
  <si>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</si>
  <si>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</si>
  <si>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</si>
  <si>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</si>
  <si>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</si>
  <si>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</si>
  <si>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</si>
  <si>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</si>
  <si>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</si>
  <si>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</si>
  <si>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</si>
  <si>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</si>
  <si>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</si>
  <si>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</si>
  <si>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</si>
  <si>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</si>
  <si>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</si>
  <si>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</si>
  <si>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</si>
  <si>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</si>
  <si>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</si>
  <si>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</si>
  <si>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</si>
  <si>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</si>
  <si>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</si>
  <si>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</si>
  <si>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</si>
  <si>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</si>
  <si>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</si>
  <si>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</si>
  <si>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</si>
  <si>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</si>
  <si>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</si>
  <si>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</si>
  <si>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</si>
  <si>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</si>
  <si>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</si>
  <si>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</si>
  <si>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</si>
  <si>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</si>
  <si>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</si>
  <si>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</si>
  <si>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</si>
  <si>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</si>
  <si>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</si>
  <si>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</si>
  <si>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</si>
  <si>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</si>
  <si>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</si>
  <si>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</si>
  <si>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</si>
  <si>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</si>
  <si>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</si>
  <si>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</si>
  <si>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</si>
  <si>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</si>
  <si>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</si>
  <si>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</si>
  <si>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</si>
  <si>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</si>
  <si>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</si>
  <si>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</si>
  <si>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</si>
  <si>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</si>
  <si>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</si>
  <si>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</si>
  <si>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</si>
  <si>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</si>
  <si>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</si>
  <si>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</si>
  <si>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</si>
  <si>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</si>
  <si>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</si>
  <si>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</si>
  <si>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</si>
  <si>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</si>
  <si>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</si>
  <si>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</si>
  <si>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</si>
  <si>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</si>
  <si>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</si>
  <si>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</si>
  <si>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</si>
  <si>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</si>
  <si>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</si>
  <si>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</si>
  <si>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</si>
  <si>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</si>
  <si>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</si>
  <si>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</si>
  <si>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</si>
  <si>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</si>
  <si>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</si>
  <si>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</si>
  <si>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</si>
  <si>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</si>
  <si>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</si>
  <si>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</si>
  <si>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</si>
  <si>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</si>
  <si>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</si>
  <si>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</si>
  <si>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</si>
  <si>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</si>
  <si>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</si>
  <si>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</si>
  <si>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</si>
  <si>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</si>
  <si>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</si>
  <si>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</si>
  <si>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</si>
  <si>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</si>
  <si>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</si>
  <si>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</si>
  <si>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</si>
  <si>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</si>
  <si>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</si>
  <si>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</si>
  <si>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</si>
  <si>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</si>
  <si>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</si>
  <si>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</si>
  <si>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</si>
  <si>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</si>
  <si>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</si>
  <si>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</si>
  <si>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</si>
  <si>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</si>
  <si>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</si>
  <si>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</si>
  <si>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</si>
  <si>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</si>
  <si>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</si>
  <si>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</si>
  <si>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</si>
  <si>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</si>
  <si>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</si>
  <si>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</si>
  <si>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</si>
  <si>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</si>
  <si>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</si>
  <si>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</si>
  <si>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</si>
  <si>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</si>
  <si>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</si>
  <si>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</si>
  <si>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</si>
  <si>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</si>
  <si>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</si>
  <si>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</si>
  <si>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</si>
  <si>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</si>
  <si>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</si>
  <si>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</si>
  <si>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</si>
  <si>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</si>
  <si>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</si>
  <si>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</si>
  <si>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</si>
  <si>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</si>
  <si>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</si>
  <si>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</si>
  <si>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</si>
  <si>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</si>
  <si>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</si>
  <si>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</si>
  <si>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</si>
  <si>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</si>
  <si>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</si>
  <si>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</si>
  <si>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</si>
  <si>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</si>
  <si>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</si>
  <si>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</si>
  <si>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</si>
  <si>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</si>
  <si>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</si>
  <si>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</si>
  <si>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</si>
  <si>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</si>
  <si>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</si>
  <si>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</si>
  <si>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</si>
  <si>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</si>
  <si>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</si>
  <si>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</si>
  <si>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</si>
  <si>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</si>
  <si>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</si>
  <si>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</si>
  <si>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</si>
  <si>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</si>
  <si>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</si>
  <si>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</si>
  <si>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</si>
  <si>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</si>
  <si>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</si>
  <si>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</si>
  <si>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</si>
  <si>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</si>
  <si>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</si>
  <si>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</si>
  <si>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</si>
  <si>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</si>
  <si>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</si>
  <si>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</si>
  <si>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</si>
  <si>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</si>
  <si>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</si>
  <si>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</si>
  <si>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</si>
  <si>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</si>
  <si>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</si>
  <si>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</si>
  <si>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</si>
  <si>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</si>
  <si>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</si>
  <si>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</si>
  <si>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</si>
  <si>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</si>
  <si>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</si>
  <si>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</si>
  <si>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</si>
  <si>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</si>
  <si>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</si>
  <si>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</si>
  <si>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</si>
  <si>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</si>
  <si>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</si>
  <si>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</si>
  <si>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</si>
  <si>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</si>
  <si>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</si>
  <si>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</si>
  <si>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</si>
  <si>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</si>
  <si>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</si>
  <si>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</si>
  <si>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</si>
  <si>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</si>
  <si>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</si>
  <si>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</si>
  <si>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</si>
  <si>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</si>
  <si>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</si>
  <si>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</si>
  <si>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</si>
  <si>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</si>
  <si>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</si>
  <si>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</si>
  <si>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</si>
  <si>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</si>
  <si>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</si>
  <si>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</si>
  <si>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</si>
  <si>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</si>
  <si>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</si>
  <si>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</si>
  <si>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</si>
  <si>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</si>
  <si>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</si>
  <si>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</si>
  <si>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</si>
  <si>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</si>
  <si>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</si>
  <si>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</si>
  <si>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</si>
  <si>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</si>
  <si>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</si>
  <si>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</si>
  <si>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</si>
  <si>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</si>
  <si>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</si>
  <si>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</si>
  <si>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</si>
  <si>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</si>
  <si>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</si>
  <si>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</si>
  <si>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</si>
  <si>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</si>
  <si>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</si>
  <si>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</si>
  <si>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</si>
  <si>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</si>
  <si>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</si>
  <si>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</si>
  <si>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</si>
  <si>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</si>
  <si>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</si>
  <si>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</si>
  <si>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</si>
  <si>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</si>
  <si>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</si>
  <si>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</si>
  <si>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</si>
  <si>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</si>
  <si>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</si>
  <si>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</si>
  <si>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</si>
  <si>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</si>
  <si>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</si>
  <si>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</si>
  <si>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</si>
  <si>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</si>
  <si>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</si>
  <si>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</si>
  <si>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</si>
  <si>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</si>
  <si>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</si>
  <si>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</si>
  <si>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</si>
  <si>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</si>
  <si>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</si>
  <si>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</si>
  <si>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</si>
  <si>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</si>
  <si>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</si>
  <si>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</si>
  <si>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</si>
  <si>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</si>
  <si>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</si>
  <si>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</si>
  <si>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</si>
  <si>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</si>
  <si>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</si>
  <si>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</si>
  <si>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</si>
  <si>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</si>
  <si>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</si>
  <si>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</si>
  <si>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</si>
  <si>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</si>
  <si>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</si>
  <si>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</si>
  <si>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</si>
  <si>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</si>
  <si>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</si>
  <si>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</si>
  <si>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</si>
  <si>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</si>
  <si>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</si>
  <si>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</si>
  <si>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</si>
  <si>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</si>
  <si>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</si>
  <si>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</si>
  <si>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</si>
  <si>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</si>
  <si>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</si>
  <si>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</si>
  <si>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</si>
  <si>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</si>
  <si>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</si>
  <si>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</si>
  <si>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</si>
  <si>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</si>
  <si>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</si>
  <si>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</si>
  <si>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</si>
  <si>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</si>
  <si>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</si>
  <si>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</si>
  <si>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</si>
  <si>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</si>
  <si>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</si>
  <si>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</si>
  <si>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</si>
  <si>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</si>
  <si>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</si>
  <si>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</si>
  <si>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</si>
  <si>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</si>
  <si>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</si>
  <si>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</si>
  <si>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</si>
  <si>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</si>
  <si>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</si>
  <si>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</si>
  <si>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</si>
  <si>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</si>
  <si>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</si>
  <si>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</si>
  <si>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</si>
  <si>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</si>
  <si>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</si>
  <si>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</si>
  <si>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</si>
  <si>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</si>
  <si>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</si>
  <si>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</si>
  <si>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</si>
  <si>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</si>
  <si>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</si>
  <si>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</si>
  <si>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</si>
  <si>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</si>
  <si>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</si>
  <si>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</si>
  <si>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</si>
  <si>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</si>
  <si>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</si>
  <si>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</si>
  <si>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</si>
  <si>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</si>
  <si>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</si>
  <si>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</si>
  <si>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</si>
  <si>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</si>
  <si>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</si>
  <si>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</si>
  <si>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</si>
  <si>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</si>
  <si>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</si>
  <si>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</si>
  <si>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</si>
  <si>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</si>
  <si>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</si>
  <si>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</si>
  <si>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</si>
  <si>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</si>
  <si>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</si>
  <si>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</si>
  <si>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</si>
  <si>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</si>
  <si>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</si>
  <si>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</si>
  <si>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</si>
  <si>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</si>
  <si>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</si>
  <si>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</si>
  <si>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</si>
  <si>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</si>
  <si>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</si>
  <si>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</si>
  <si>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</si>
  <si>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</si>
  <si>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</si>
  <si>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</si>
  <si>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</si>
  <si>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</si>
  <si>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</si>
  <si>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</si>
  <si>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</si>
  <si>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</si>
  <si>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</si>
  <si>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</si>
  <si>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</si>
  <si>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</si>
  <si>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</si>
  <si>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</si>
  <si>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</si>
  <si>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</si>
  <si>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</si>
  <si>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</si>
  <si>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</si>
  <si>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</si>
  <si>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</si>
  <si>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</si>
  <si>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</si>
  <si>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</si>
  <si>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</si>
  <si>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</si>
  <si>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</si>
  <si>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</si>
  <si>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</si>
  <si>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</si>
  <si>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</si>
  <si>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</si>
  <si>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</si>
  <si>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</si>
  <si>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</si>
  <si>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</si>
  <si>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</si>
  <si>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</si>
  <si>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</si>
  <si>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</si>
  <si>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</si>
  <si>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</si>
  <si>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</si>
  <si>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</si>
  <si>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</si>
  <si>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</si>
  <si>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</si>
  <si>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</si>
  <si>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</si>
  <si>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</si>
  <si>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</si>
  <si>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</si>
  <si>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</si>
  <si>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</si>
  <si>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</si>
  <si>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</si>
  <si>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</si>
  <si>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</si>
  <si>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</si>
  <si>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</si>
  <si>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</si>
  <si>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</si>
  <si>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</si>
  <si>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</si>
  <si>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</si>
  <si>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</si>
  <si>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</si>
  <si>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</si>
  <si>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</si>
  <si>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</si>
  <si>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</si>
  <si>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</si>
  <si>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</si>
  <si>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</si>
  <si>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</si>
  <si>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</si>
  <si>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</si>
  <si>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</si>
  <si>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</si>
  <si>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</si>
  <si>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</si>
  <si>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</si>
  <si>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</si>
  <si>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</si>
  <si>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</si>
  <si>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</si>
  <si>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</si>
  <si>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</si>
  <si>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</si>
  <si>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</si>
  <si>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</si>
  <si>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</si>
  <si>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</si>
  <si>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</si>
  <si>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</si>
  <si>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</si>
  <si>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</si>
  <si>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</si>
  <si>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</si>
  <si>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</si>
  <si>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</si>
  <si>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</si>
  <si>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</si>
  <si>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</si>
  <si>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</si>
  <si>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</si>
  <si>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</si>
  <si>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</si>
  <si>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</si>
  <si>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</si>
  <si>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</si>
  <si>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</si>
  <si>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</si>
  <si>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</si>
  <si>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</si>
  <si>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</si>
  <si>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</si>
  <si>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</si>
  <si>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</si>
  <si>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</si>
  <si>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</si>
  <si>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</si>
  <si>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</si>
  <si>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</si>
  <si>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</si>
  <si>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</si>
  <si>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</si>
  <si>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</si>
  <si>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</si>
  <si>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</si>
  <si>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</si>
  <si>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</si>
  <si>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</si>
  <si>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</si>
  <si>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</si>
  <si>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</si>
  <si>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</si>
  <si>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</si>
  <si>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</si>
  <si>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</si>
  <si>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</si>
  <si>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</si>
  <si>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</si>
  <si>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</si>
  <si>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</si>
  <si>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</si>
  <si>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</si>
  <si>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</si>
  <si>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</si>
  <si>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</si>
  <si>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</si>
  <si>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</si>
  <si>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</si>
  <si>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</si>
  <si>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</si>
  <si>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</si>
  <si>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</si>
  <si>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</si>
  <si>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</si>
  <si>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</si>
  <si>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</si>
  <si>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</si>
  <si>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</si>
  <si>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</si>
  <si>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</si>
  <si>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</si>
  <si>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</si>
  <si>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</si>
  <si>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</si>
  <si>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</si>
  <si>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</si>
  <si>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</si>
  <si>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</si>
  <si>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</si>
  <si>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</si>
  <si>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</si>
  <si>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</si>
  <si>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</si>
  <si>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</si>
  <si>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</si>
  <si>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</si>
  <si>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</si>
  <si>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</si>
  <si>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</si>
  <si>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</si>
  <si>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</si>
  <si>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</si>
  <si>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</si>
  <si>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</si>
  <si>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</si>
  <si>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</si>
  <si>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</si>
  <si>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</si>
  <si>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</si>
  <si>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</si>
  <si>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</si>
  <si>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</si>
  <si>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</si>
  <si>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</si>
  <si>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</si>
  <si>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</si>
  <si>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</si>
  <si>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</si>
  <si>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</si>
  <si>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</si>
  <si>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</si>
  <si>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</si>
  <si>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</si>
  <si>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</si>
  <si>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</si>
  <si>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</si>
  <si>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</si>
  <si>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</si>
  <si>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</si>
  <si>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</si>
  <si>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</si>
  <si>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</si>
  <si>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</si>
  <si>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</si>
  <si>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</si>
  <si>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</si>
  <si>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</si>
  <si>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</si>
  <si>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</si>
  <si>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</si>
  <si>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</si>
  <si>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</si>
  <si>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</si>
  <si>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</si>
  <si>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</si>
  <si>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</si>
  <si>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</si>
  <si>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</si>
  <si>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</si>
  <si>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</si>
  <si>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</si>
  <si>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</si>
  <si>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</si>
  <si>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</si>
  <si>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</si>
  <si>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</si>
  <si>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</si>
  <si>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</si>
  <si>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</si>
  <si>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</si>
  <si>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</si>
  <si>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</si>
  <si>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</si>
  <si>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</si>
  <si>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</si>
  <si>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</si>
  <si>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</si>
  <si>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</si>
  <si>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</si>
  <si>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</si>
  <si>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</si>
  <si>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</si>
  <si>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</si>
  <si>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</si>
  <si>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</si>
  <si>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</si>
  <si>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</si>
  <si>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</si>
  <si>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</si>
  <si>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</si>
  <si>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</si>
  <si>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</si>
  <si>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</si>
  <si>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</si>
  <si>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</si>
  <si>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</si>
  <si>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</si>
  <si>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</si>
  <si>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</si>
  <si>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</si>
  <si>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</si>
  <si>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</si>
  <si>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</si>
  <si>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</si>
  <si>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</si>
  <si>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</si>
  <si>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</si>
  <si>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</si>
  <si>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</si>
  <si>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</si>
  <si>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</si>
  <si>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</si>
  <si>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</si>
  <si>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</si>
  <si>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</si>
  <si>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</si>
  <si>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</si>
  <si>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</si>
  <si>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</si>
  <si>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</si>
  <si>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</si>
  <si>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</si>
  <si>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</si>
  <si>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</si>
  <si>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</si>
  <si>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</si>
  <si>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</si>
  <si>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</si>
  <si>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</si>
  <si>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</si>
  <si>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</si>
  <si>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</si>
  <si>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</si>
  <si>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</si>
  <si>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</si>
  <si>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</si>
  <si>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</si>
  <si>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</si>
  <si>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</si>
  <si>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</si>
  <si>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</si>
  <si>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</si>
  <si>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</si>
  <si>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</si>
  <si>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</si>
  <si>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</si>
  <si>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</si>
  <si>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</si>
  <si>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</si>
  <si>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</si>
  <si>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</si>
  <si>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</si>
  <si>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</si>
  <si>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</si>
  <si>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</si>
  <si>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</si>
  <si>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</si>
  <si>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</si>
  <si>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</si>
  <si>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</si>
  <si>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</si>
  <si>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</si>
  <si>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</si>
  <si>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</si>
  <si>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</si>
  <si>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</si>
  <si>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</si>
  <si>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</si>
  <si>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</si>
  <si>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</si>
  <si>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</si>
  <si>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</si>
  <si>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</si>
  <si>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</si>
  <si>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</si>
  <si>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</si>
  <si>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</si>
  <si>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</si>
  <si>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</si>
  <si>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</si>
  <si>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</si>
  <si>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</si>
  <si>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</si>
  <si>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</si>
  <si>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</si>
  <si>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</si>
  <si>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</si>
  <si>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</si>
  <si>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</si>
  <si>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</si>
  <si>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</si>
  <si>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</si>
  <si>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</si>
  <si>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</si>
  <si>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</si>
  <si>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</si>
  <si>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</si>
  <si>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</si>
  <si>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</si>
  <si>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</si>
  <si>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</si>
  <si>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</si>
  <si>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</si>
  <si>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</si>
  <si>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</si>
  <si>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</si>
  <si>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</si>
  <si>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</si>
  <si>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</si>
  <si>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</si>
  <si>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</si>
  <si>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</si>
  <si>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</si>
  <si>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</si>
  <si>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</si>
  <si>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</si>
  <si>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</si>
  <si>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</si>
  <si>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</si>
  <si>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</si>
  <si>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</si>
  <si>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</si>
  <si>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</si>
  <si>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</si>
  <si>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</si>
  <si>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</si>
  <si>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</si>
  <si>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</si>
  <si>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</si>
  <si>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</si>
  <si>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</si>
  <si>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</si>
  <si>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</si>
  <si>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</si>
  <si>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</si>
  <si>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</si>
  <si>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</si>
  <si>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</si>
  <si>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</si>
  <si>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</si>
  <si>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</si>
  <si>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</si>
  <si>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</si>
  <si>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</si>
  <si>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</si>
  <si>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</si>
  <si>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</si>
  <si>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</si>
  <si>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</si>
  <si>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</si>
  <si>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</si>
  <si>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</si>
  <si>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</si>
  <si>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</si>
  <si>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</si>
  <si>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</si>
  <si>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</si>
  <si>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</si>
  <si>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</si>
  <si>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</si>
  <si>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</si>
  <si>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</si>
  <si>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</si>
  <si>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</si>
  <si>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</si>
  <si>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</si>
  <si>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</si>
  <si>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</si>
  <si>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</si>
  <si>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</si>
  <si>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</si>
  <si>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</si>
  <si>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</si>
  <si>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</si>
  <si>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</si>
  <si>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</si>
  <si>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</si>
  <si>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</si>
  <si>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</si>
  <si>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</si>
  <si>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</si>
  <si>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</si>
  <si>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</si>
  <si>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</si>
  <si>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</si>
  <si>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</si>
  <si>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</si>
  <si>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</si>
  <si>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</si>
  <si>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</si>
  <si>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</si>
  <si>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</si>
  <si>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</si>
  <si>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</si>
  <si>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</si>
  <si>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</si>
  <si>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</si>
  <si>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</si>
  <si>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</si>
  <si>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</si>
  <si>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</si>
  <si>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</si>
  <si>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</si>
  <si>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</si>
  <si>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</si>
  <si>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</si>
  <si>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</si>
  <si>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</si>
  <si>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</si>
  <si>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</si>
  <si>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</si>
  <si>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</si>
  <si>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</si>
  <si>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</si>
  <si>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</si>
  <si>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</si>
  <si>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</si>
  <si>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</si>
  <si>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</si>
  <si>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</si>
  <si>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</si>
  <si>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</si>
  <si>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</si>
  <si>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</si>
  <si>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</si>
  <si>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</si>
  <si>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</si>
  <si>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</si>
  <si>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</si>
  <si>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</si>
  <si>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</si>
  <si>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</si>
  <si>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</si>
  <si>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</si>
  <si>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</si>
  <si>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</si>
  <si>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</si>
  <si>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</si>
  <si>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</si>
  <si>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</si>
  <si>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</si>
  <si>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</si>
  <si>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</si>
  <si>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</si>
  <si>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</si>
  <si>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</si>
  <si>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</si>
  <si>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</si>
  <si>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</si>
  <si>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</si>
  <si>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</si>
  <si>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</si>
  <si>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</si>
  <si>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</si>
  <si>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</si>
  <si>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</si>
  <si>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</si>
  <si>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</si>
  <si>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</si>
  <si>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</si>
  <si>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</si>
  <si>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</si>
  <si>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</si>
  <si>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</si>
  <si>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</si>
  <si>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</si>
  <si>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</si>
  <si>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</si>
  <si>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</si>
  <si>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</si>
  <si>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</si>
  <si>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</si>
  <si>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</si>
  <si>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</si>
  <si>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</si>
  <si>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</si>
  <si>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</si>
  <si>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</si>
  <si>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</si>
  <si>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</si>
  <si>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</si>
  <si>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</si>
  <si>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</si>
  <si>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</si>
  <si>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</si>
  <si>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</si>
  <si>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</si>
  <si>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</si>
  <si>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</si>
  <si>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</si>
  <si>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</si>
  <si>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</si>
  <si>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</si>
  <si>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</si>
  <si>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</si>
  <si>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</si>
  <si>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</si>
  <si>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</si>
  <si>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</si>
  <si>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</si>
  <si>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</si>
  <si>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</si>
  <si>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</si>
  <si>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</si>
  <si>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</si>
  <si>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</si>
  <si>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</si>
  <si>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</si>
  <si>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</si>
  <si>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</si>
  <si>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</si>
  <si>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</si>
  <si>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</si>
  <si>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</si>
  <si>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</si>
  <si>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</si>
  <si>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</si>
  <si>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</si>
  <si>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</si>
  <si>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</si>
  <si>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</si>
  <si>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</si>
  <si>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</si>
  <si>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</si>
  <si>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</si>
  <si>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</si>
  <si>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</si>
  <si>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</si>
  <si>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</si>
  <si>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</si>
  <si>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</si>
  <si>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</si>
  <si>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</si>
  <si>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</si>
  <si>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</si>
  <si>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</si>
  <si>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</si>
  <si>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</si>
  <si>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</si>
  <si>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</si>
  <si>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</si>
  <si>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</si>
  <si>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</si>
  <si>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</si>
  <si>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</si>
  <si>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</si>
  <si>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</si>
  <si>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</si>
  <si>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</si>
  <si>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</si>
  <si>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</si>
  <si>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</si>
  <si>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</si>
  <si>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</si>
  <si>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</si>
  <si>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</si>
  <si>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</si>
  <si>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</si>
  <si>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</si>
  <si>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</si>
  <si>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</si>
  <si>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</si>
  <si>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</si>
  <si>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</si>
  <si>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</si>
  <si>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</si>
  <si>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</si>
  <si>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</si>
  <si>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</si>
  <si>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</si>
  <si>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</si>
  <si>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</si>
  <si>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</si>
  <si>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</si>
  <si>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</si>
  <si>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</si>
  <si>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</si>
  <si>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</si>
  <si>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</si>
  <si>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</si>
  <si>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</si>
  <si>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</si>
  <si>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</si>
  <si>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</si>
  <si>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</si>
  <si>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</si>
  <si>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</si>
  <si>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</si>
  <si>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</si>
  <si>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</si>
  <si>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</si>
  <si>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</si>
  <si>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</si>
  <si>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</si>
  <si>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</si>
  <si>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</si>
  <si>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</si>
  <si>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</si>
  <si>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</si>
  <si>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</si>
  <si>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</si>
  <si>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</si>
  <si>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</si>
  <si>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</si>
  <si>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</si>
  <si>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</si>
  <si>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</si>
  <si>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</si>
  <si>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</si>
  <si>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</si>
  <si>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</si>
  <si>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</si>
  <si>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</si>
  <si>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</si>
  <si>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</si>
  <si>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</si>
  <si>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</si>
  <si>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</si>
  <si>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</si>
  <si>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</si>
  <si>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</si>
  <si>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</si>
  <si>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</si>
  <si>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</si>
  <si>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</si>
  <si>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</si>
  <si>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</si>
  <si>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</si>
  <si>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</si>
  <si>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</si>
  <si>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</si>
  <si>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</si>
  <si>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</si>
  <si>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</si>
  <si>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</si>
  <si>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</si>
  <si>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</si>
  <si>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</si>
  <si>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</si>
  <si>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</si>
  <si>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</si>
  <si>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</si>
  <si>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</si>
  <si>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</si>
  <si>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</si>
  <si>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</si>
  <si>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</si>
  <si>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</si>
  <si>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</si>
  <si>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</si>
  <si>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</si>
  <si>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</si>
  <si>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</si>
  <si>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</si>
  <si>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</si>
  <si>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</si>
  <si>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</si>
  <si>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</si>
  <si>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</si>
  <si>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</si>
  <si>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</si>
  <si>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</si>
  <si>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</si>
  <si>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</si>
  <si>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</si>
  <si>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</si>
  <si>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</si>
  <si>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</si>
  <si>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</si>
  <si>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</si>
  <si>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</si>
  <si>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</si>
  <si>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</si>
  <si>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</si>
  <si>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</si>
  <si>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</si>
  <si>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</si>
  <si>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</si>
  <si>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</si>
  <si>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</si>
  <si>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</si>
  <si>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</si>
  <si>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</si>
  <si>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</si>
  <si>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</si>
  <si>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</si>
  <si>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</si>
  <si>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</si>
  <si>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</si>
  <si>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</si>
  <si>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</si>
  <si>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</si>
  <si>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</si>
  <si>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</si>
  <si>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</si>
  <si>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</si>
  <si>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</si>
  <si>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</si>
  <si>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</si>
  <si>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</si>
  <si>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</si>
  <si>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</si>
  <si>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</si>
  <si>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</si>
  <si>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</si>
  <si>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</si>
  <si>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</si>
  <si>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</si>
  <si>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</si>
  <si>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</si>
  <si>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</si>
  <si>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</si>
  <si>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</si>
  <si>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</si>
  <si>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</si>
  <si>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</si>
  <si>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</si>
  <si>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</si>
  <si>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</si>
  <si>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</si>
  <si>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</si>
  <si>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</si>
  <si>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</si>
  <si>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</si>
  <si>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</si>
  <si>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</si>
  <si>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</si>
  <si>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</si>
  <si>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</si>
  <si>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</si>
  <si>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</si>
  <si>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</si>
  <si>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</si>
  <si>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</si>
  <si>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</si>
  <si>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</si>
  <si>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</si>
  <si>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</si>
  <si>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</si>
  <si>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</si>
  <si>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</si>
  <si>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</si>
  <si>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</si>
  <si>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</si>
  <si>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</si>
  <si>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</si>
  <si>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</si>
  <si>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</si>
  <si>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</si>
  <si>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</si>
  <si>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</si>
  <si>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</si>
  <si>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</si>
  <si>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</si>
  <si>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</si>
  <si>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</si>
  <si>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</si>
  <si>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</si>
  <si>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</si>
  <si>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</si>
  <si>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</si>
  <si>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</si>
  <si>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</si>
  <si>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</si>
  <si>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</si>
  <si>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</si>
  <si>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</si>
  <si>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</si>
  <si>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</si>
  <si>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</si>
  <si>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</si>
  <si>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</si>
  <si>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</si>
  <si>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</si>
  <si>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</si>
  <si>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</si>
  <si>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</si>
  <si>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</si>
  <si>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</si>
  <si>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</si>
  <si>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</si>
  <si>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</si>
  <si>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</si>
  <si>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</si>
  <si>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</si>
  <si>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</si>
  <si>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</si>
  <si>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</si>
  <si>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</si>
  <si>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</si>
  <si>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</si>
  <si>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</si>
  <si>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</si>
  <si>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</si>
  <si>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</si>
  <si>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</si>
  <si>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</si>
  <si>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</si>
  <si>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</si>
  <si>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</si>
  <si>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</si>
  <si>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</si>
  <si>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</si>
  <si>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</si>
  <si>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</si>
  <si>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</si>
  <si>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</si>
  <si>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</si>
  <si>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</si>
  <si>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</si>
  <si>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</si>
  <si>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</si>
  <si>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</si>
  <si>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</si>
  <si>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</si>
  <si>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</si>
  <si>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</si>
  <si>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</si>
  <si>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</si>
  <si>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</si>
  <si>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</si>
  <si>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</si>
  <si>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</si>
  <si>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</si>
  <si>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</si>
  <si>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</si>
  <si>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</si>
  <si>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</si>
  <si>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</si>
  <si>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</si>
  <si>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</si>
  <si>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</si>
  <si>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</si>
  <si>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</si>
  <si>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</si>
  <si>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</si>
  <si>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</si>
  <si>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</si>
  <si>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</si>
  <si>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</si>
  <si>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</si>
  <si>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</si>
  <si>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</si>
  <si>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</si>
  <si>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</si>
  <si>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</si>
  <si>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</si>
  <si>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</si>
  <si>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</si>
  <si>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</si>
  <si>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</si>
  <si>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</si>
  <si>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</si>
  <si>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</si>
  <si>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</si>
  <si>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</si>
  <si>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</si>
  <si>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</si>
  <si>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</si>
  <si>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</si>
  <si>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</si>
  <si>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</si>
  <si>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</si>
  <si>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</si>
  <si>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</si>
  <si>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</si>
  <si>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</si>
  <si>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</si>
  <si>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</si>
  <si>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</si>
  <si>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</si>
  <si>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</si>
  <si>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</si>
  <si>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</si>
  <si>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</si>
  <si>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</si>
  <si>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</si>
  <si>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</si>
  <si>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</si>
  <si>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</si>
  <si>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</si>
  <si>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</si>
  <si>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</si>
  <si>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</si>
  <si>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</si>
  <si>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</si>
  <si>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</si>
  <si>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</si>
  <si>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</si>
  <si>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</si>
  <si>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</si>
  <si>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</si>
  <si>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</si>
  <si>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</si>
  <si>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</si>
  <si>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</si>
  <si>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</si>
  <si>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</si>
  <si>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</si>
  <si>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</si>
  <si>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</si>
  <si>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</si>
  <si>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</si>
  <si>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</si>
  <si>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</si>
  <si>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</si>
  <si>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</si>
  <si>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</si>
  <si>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</si>
  <si>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</si>
  <si>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</si>
  <si>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</si>
  <si>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</si>
  <si>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</si>
  <si>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</si>
  <si>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</si>
  <si>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</si>
  <si>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</si>
  <si>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</si>
  <si>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</si>
  <si>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</si>
  <si>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</si>
  <si>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</si>
  <si>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</si>
  <si>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</si>
  <si>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</si>
  <si>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</si>
  <si>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</si>
  <si>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</si>
  <si>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</si>
  <si>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</si>
  <si>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</si>
  <si>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</si>
  <si>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</si>
  <si>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</si>
  <si>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</si>
  <si>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</si>
  <si>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</si>
  <si>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</si>
  <si>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</si>
  <si>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</si>
  <si>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</si>
  <si>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</si>
  <si>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</si>
  <si>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</si>
  <si>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</si>
  <si>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</si>
  <si>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</si>
  <si>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</si>
  <si>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</si>
  <si>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</si>
  <si>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</si>
  <si>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</si>
  <si>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</si>
  <si>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</si>
  <si>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</si>
  <si>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</si>
  <si>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</si>
  <si>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</si>
  <si>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</si>
  <si>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</si>
  <si>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</si>
  <si>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</si>
  <si>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</si>
  <si>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</si>
  <si>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</si>
  <si>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</si>
  <si>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</si>
  <si>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</si>
  <si>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</si>
  <si>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</si>
  <si>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</si>
  <si>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</si>
  <si>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</si>
  <si>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</si>
  <si>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</si>
  <si>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</si>
  <si>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</si>
  <si>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</si>
  <si>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</si>
  <si>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</si>
  <si>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</si>
  <si>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</si>
  <si>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</si>
  <si>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</si>
  <si>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</si>
  <si>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</si>
  <si>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</si>
  <si>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</si>
  <si>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</si>
  <si>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</si>
  <si>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</si>
  <si>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</si>
  <si>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</si>
  <si>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</si>
  <si>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</si>
  <si>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</si>
  <si>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</si>
  <si>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</si>
  <si>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</si>
  <si>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</si>
  <si>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</si>
  <si>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</si>
  <si>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</si>
  <si>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</si>
  <si>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</si>
  <si>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</si>
  <si>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</si>
  <si>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</si>
  <si>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</si>
  <si>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</si>
  <si>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</si>
  <si>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</si>
  <si>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</si>
  <si>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</si>
  <si>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</si>
  <si>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</si>
  <si>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</si>
  <si>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</si>
  <si>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</si>
  <si>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</si>
  <si>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</si>
  <si>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</si>
  <si>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</si>
  <si>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</si>
  <si>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</si>
  <si>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</si>
  <si>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</si>
  <si>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</si>
  <si>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</si>
  <si>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</si>
  <si>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</si>
  <si>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</si>
  <si>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</si>
  <si>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</si>
  <si>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</si>
  <si>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</si>
  <si>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</si>
  <si>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</si>
  <si>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</si>
  <si>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</si>
  <si>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</si>
  <si>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</si>
  <si>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</si>
  <si>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</si>
  <si>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</si>
  <si>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</si>
  <si>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</si>
  <si>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</si>
  <si>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</si>
  <si>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</si>
  <si>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</si>
  <si>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</si>
  <si>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</si>
  <si>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</si>
  <si>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</si>
  <si>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</si>
  <si>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</si>
  <si>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</si>
  <si>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</si>
  <si>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</si>
  <si>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</si>
  <si>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</si>
  <si>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</si>
  <si>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</si>
  <si>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</si>
  <si>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</si>
  <si>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</si>
  <si>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</si>
  <si>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</si>
  <si>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</si>
  <si>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</si>
  <si>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</si>
  <si>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</si>
  <si>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</si>
  <si>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</si>
  <si>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</si>
  <si>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</si>
  <si>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</si>
  <si>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</si>
  <si>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</si>
  <si>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</si>
  <si>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</si>
  <si>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</si>
  <si>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</si>
  <si>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</si>
  <si>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</si>
  <si>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</si>
  <si>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</si>
  <si>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</si>
  <si>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</si>
  <si>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</si>
  <si>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</si>
  <si>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</si>
  <si>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</si>
  <si>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</si>
  <si>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</si>
  <si>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</si>
  <si>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</si>
  <si>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</si>
  <si>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</si>
  <si>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</si>
  <si>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</si>
  <si>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</si>
  <si>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</si>
  <si>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</si>
  <si>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</si>
  <si>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</si>
  <si>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</si>
  <si>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</si>
  <si>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</si>
  <si>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</si>
  <si>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</si>
  <si>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</si>
  <si>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</si>
  <si>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</si>
  <si>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</si>
  <si>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</si>
  <si>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</si>
  <si>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</si>
  <si>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</si>
  <si>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</si>
  <si>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</si>
  <si>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</si>
  <si>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</si>
  <si>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</si>
  <si>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</si>
  <si>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</si>
  <si>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</si>
  <si>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</si>
  <si>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</si>
  <si>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</si>
  <si>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</si>
  <si>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</si>
  <si>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</si>
  <si>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</si>
  <si>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</si>
  <si>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</si>
  <si>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</si>
  <si>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</si>
  <si>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</si>
  <si>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</si>
  <si>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</si>
  <si>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</si>
  <si>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</si>
  <si>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</si>
  <si>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</si>
  <si>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</si>
  <si>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</si>
  <si>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</si>
  <si>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</si>
  <si>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</si>
  <si>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</si>
  <si>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</si>
  <si>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</si>
  <si>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</si>
  <si>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</si>
  <si>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</si>
  <si>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</si>
  <si>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</si>
  <si>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</si>
  <si>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</si>
  <si>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</si>
  <si>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</si>
  <si>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</si>
  <si>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</si>
  <si>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</si>
  <si>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</si>
  <si>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</si>
  <si>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</si>
  <si>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</si>
  <si>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</si>
  <si>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</si>
  <si>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</si>
  <si>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</si>
  <si>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</si>
  <si>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</si>
  <si>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</si>
  <si>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</si>
  <si>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</si>
  <si>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</si>
  <si>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</si>
  <si>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</si>
  <si>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</si>
  <si>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</si>
  <si>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</si>
  <si>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</si>
  <si>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</si>
  <si>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</si>
  <si>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</si>
  <si>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</si>
  <si>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</si>
  <si>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</si>
  <si>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</si>
  <si>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</si>
  <si>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</si>
  <si>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</si>
  <si>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</si>
  <si>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</si>
  <si>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</si>
  <si>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</si>
  <si>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</si>
  <si>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</si>
  <si>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</si>
  <si>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</si>
  <si>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</si>
  <si>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</si>
  <si>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</si>
  <si>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</si>
  <si>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</si>
  <si>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</si>
  <si>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</si>
  <si>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</si>
  <si>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</si>
  <si>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</si>
  <si>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</si>
  <si>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</si>
  <si>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</si>
  <si>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</si>
  <si>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</si>
  <si>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</si>
  <si>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</si>
  <si>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</si>
  <si>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</si>
  <si>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</si>
  <si>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</si>
  <si>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</si>
  <si>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</si>
  <si>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</si>
  <si>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</si>
  <si>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</si>
  <si>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</si>
  <si>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</si>
  <si>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</si>
  <si>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</si>
  <si>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</si>
  <si>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</si>
  <si>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</si>
  <si>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</si>
  <si>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</si>
  <si>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</si>
  <si>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</si>
  <si>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</si>
  <si>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</si>
  <si>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</si>
  <si>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</si>
  <si>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</si>
  <si>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</si>
  <si>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</si>
  <si>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</si>
  <si>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</si>
  <si>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</si>
  <si>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</si>
  <si>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</si>
  <si>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</si>
  <si>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</si>
  <si>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</si>
  <si>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</si>
  <si>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</si>
  <si>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</si>
  <si>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</si>
  <si>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</si>
  <si>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</si>
  <si>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</si>
  <si>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</si>
  <si>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</si>
  <si>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</si>
  <si>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</si>
  <si>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</si>
  <si>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</si>
  <si>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</si>
  <si>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</si>
  <si>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</si>
  <si>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</si>
  <si>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</si>
  <si>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</si>
  <si>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</si>
  <si>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</si>
  <si>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</si>
  <si>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</si>
  <si>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</si>
  <si>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</si>
  <si>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</si>
  <si>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</si>
  <si>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</si>
  <si>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</si>
  <si>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</si>
  <si>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</si>
  <si>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</si>
  <si>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</si>
  <si>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</si>
  <si>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</si>
  <si>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</si>
  <si>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</si>
  <si>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</si>
  <si>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</si>
  <si>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</si>
  <si>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</si>
  <si>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</si>
  <si>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</si>
  <si>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</si>
  <si>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</si>
  <si>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</si>
  <si>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</si>
  <si>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</si>
  <si>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</si>
  <si>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</si>
  <si>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</si>
  <si>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</si>
  <si>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</si>
  <si>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</si>
  <si>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</si>
  <si>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</si>
  <si>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</si>
  <si>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</si>
  <si>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</si>
  <si>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</si>
  <si>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</si>
  <si>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</si>
  <si>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</si>
  <si>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</si>
  <si>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</si>
  <si>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</si>
  <si>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</si>
  <si>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</si>
  <si>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</si>
  <si>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</si>
  <si>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</si>
  <si>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</si>
  <si>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</si>
  <si>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</si>
  <si>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</si>
  <si>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</si>
  <si>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</si>
  <si>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</si>
  <si>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</si>
  <si>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</si>
  <si>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</si>
  <si>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</si>
  <si>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</si>
  <si>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</si>
  <si>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</si>
  <si>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</si>
  <si>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</si>
  <si>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</si>
  <si>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</si>
  <si>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</si>
  <si>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</si>
  <si>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</si>
  <si>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</si>
  <si>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</si>
  <si>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</si>
  <si>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</si>
  <si>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</si>
  <si>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</si>
  <si>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</si>
  <si>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</si>
  <si>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</si>
  <si>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</si>
  <si>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</si>
  <si>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</si>
  <si>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</si>
  <si>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</si>
  <si>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</si>
  <si>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</si>
  <si>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</si>
  <si>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</si>
  <si>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</si>
  <si>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</si>
  <si>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</si>
  <si>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</si>
  <si>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</si>
  <si>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</si>
  <si>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</si>
  <si>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</si>
  <si>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</si>
  <si>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</si>
  <si>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</si>
  <si>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</si>
  <si>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</si>
  <si>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</si>
  <si>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</si>
  <si>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</si>
  <si>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</si>
  <si>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</si>
  <si>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</si>
  <si>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</si>
  <si>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</si>
  <si>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</si>
  <si>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</si>
  <si>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</si>
  <si>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</si>
  <si>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</si>
  <si>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</si>
  <si>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</si>
  <si>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</si>
  <si>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</si>
  <si>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</si>
  <si>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</si>
  <si>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</si>
  <si>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</si>
  <si>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</si>
  <si>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</si>
  <si>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</si>
  <si>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</si>
  <si>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</si>
  <si>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</si>
  <si>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</si>
  <si>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</si>
  <si>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</si>
  <si>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</si>
  <si>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</si>
  <si>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</si>
  <si>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</si>
  <si>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</si>
  <si>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</si>
  <si>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</si>
  <si>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</si>
  <si>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</si>
  <si>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</si>
  <si>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</si>
  <si>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</si>
  <si>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</si>
  <si>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</si>
  <si>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</si>
  <si>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</si>
  <si>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</si>
  <si>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</si>
  <si>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</si>
  <si>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</si>
  <si>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</si>
  <si>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</si>
  <si>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</si>
  <si>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</si>
  <si>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</si>
  <si>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</si>
  <si>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</si>
  <si>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</si>
  <si>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</si>
  <si>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</si>
  <si>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</si>
  <si>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</si>
  <si>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</si>
  <si>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</si>
  <si>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</si>
  <si>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</si>
  <si>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</si>
  <si>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</si>
  <si>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</si>
  <si>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</si>
  <si>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</si>
  <si>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</si>
  <si>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</si>
  <si>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</si>
  <si>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</si>
  <si>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</si>
  <si>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</si>
  <si>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</si>
  <si>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</si>
  <si>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</si>
  <si>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</si>
  <si>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</si>
  <si>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</si>
  <si>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</si>
  <si>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</si>
  <si>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</si>
  <si>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</si>
  <si>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</si>
  <si>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</si>
  <si>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</si>
  <si>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</si>
  <si>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</si>
  <si>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</si>
  <si>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</si>
  <si>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</si>
  <si>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</si>
  <si>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</si>
  <si>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</si>
  <si>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</si>
  <si>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</si>
  <si>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</si>
  <si>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</si>
  <si>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</si>
  <si>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</si>
  <si>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</si>
  <si>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</si>
  <si>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</si>
  <si>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</si>
  <si>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</si>
  <si>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</si>
  <si>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</si>
  <si>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</si>
  <si>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</si>
  <si>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</si>
  <si>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</si>
  <si>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</si>
  <si>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</si>
  <si>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</si>
  <si>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</si>
  <si>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</si>
  <si>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</si>
  <si>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</si>
  <si>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</si>
  <si>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</si>
  <si>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</si>
  <si>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</si>
  <si>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</si>
  <si>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</si>
  <si>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</si>
  <si>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</si>
  <si>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</si>
  <si>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</si>
  <si>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</si>
  <si>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</si>
  <si>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</si>
  <si>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</si>
  <si>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</si>
  <si>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</si>
  <si>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</si>
  <si>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</si>
  <si>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</si>
  <si>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</si>
  <si>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</si>
  <si>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</si>
  <si>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</si>
  <si>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</si>
  <si>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</si>
  <si>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</si>
  <si>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</si>
  <si>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</si>
  <si>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</si>
  <si>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</si>
  <si>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</si>
  <si>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</si>
  <si>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</si>
  <si>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</si>
  <si>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</si>
  <si>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</si>
  <si>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</si>
  <si>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</si>
  <si>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</si>
  <si>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</si>
  <si>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</si>
  <si>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</si>
  <si>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</si>
  <si>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</si>
  <si>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</si>
  <si>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</si>
  <si>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</si>
  <si>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</si>
  <si>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</si>
  <si>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</si>
  <si>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</si>
  <si>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</si>
  <si>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</si>
  <si>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</si>
  <si>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</si>
  <si>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</si>
  <si>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</si>
  <si>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</si>
  <si>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</si>
  <si>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</si>
  <si>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</si>
  <si>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</si>
  <si>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</si>
  <si>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</si>
  <si>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</si>
  <si>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</si>
  <si>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</si>
  <si>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</si>
  <si>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</si>
  <si>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</si>
  <si>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</si>
  <si>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</si>
  <si>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</si>
  <si>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</si>
  <si>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</si>
  <si>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</si>
  <si>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</si>
  <si>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</si>
  <si>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</si>
  <si>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</si>
  <si>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</si>
  <si>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</si>
  <si>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</si>
  <si>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</si>
  <si>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</si>
  <si>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</si>
  <si>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</si>
  <si>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</si>
  <si>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</si>
  <si>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</si>
  <si>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</si>
  <si>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</si>
  <si>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</si>
  <si>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</si>
  <si>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</si>
  <si>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</si>
  <si>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</si>
  <si>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</si>
  <si>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</si>
  <si>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</si>
  <si>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</si>
  <si>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</si>
  <si>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</si>
  <si>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</si>
  <si>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</si>
  <si>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</si>
  <si>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</si>
  <si>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</si>
  <si>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</si>
  <si>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</si>
  <si>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</si>
  <si>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</si>
  <si>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</si>
  <si>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</si>
  <si>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</si>
  <si>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</si>
  <si>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</si>
  <si>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</si>
  <si>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</si>
  <si>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</si>
  <si>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</si>
  <si>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</si>
  <si>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</si>
  <si>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</si>
  <si>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</si>
  <si>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</si>
  <si>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</si>
  <si>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</si>
  <si>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</si>
  <si>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</si>
  <si>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</si>
  <si>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</si>
  <si>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</si>
  <si>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</si>
  <si>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</si>
  <si>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</si>
  <si>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</si>
  <si>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</si>
  <si>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</si>
  <si>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</si>
  <si>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</si>
  <si>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</si>
  <si>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</si>
  <si>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</si>
  <si>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</si>
  <si>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</si>
  <si>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</si>
  <si>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</si>
  <si>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</si>
  <si>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</si>
  <si>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</si>
  <si>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</si>
  <si>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</si>
  <si>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</si>
  <si>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</si>
  <si>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</si>
  <si>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</si>
  <si>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</si>
  <si>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</si>
  <si>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</si>
  <si>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</si>
  <si>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</si>
  <si>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</si>
  <si>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</si>
  <si>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</si>
  <si>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</si>
  <si>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</si>
  <si>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</si>
  <si>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</si>
  <si>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</si>
  <si>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</si>
  <si>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</si>
  <si>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</si>
  <si>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</si>
  <si>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</si>
  <si>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</si>
  <si>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</si>
  <si>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</si>
  <si>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</si>
  <si>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</si>
  <si>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</si>
  <si>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</si>
  <si>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</si>
  <si>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</si>
  <si>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</si>
  <si>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</si>
  <si>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</si>
  <si>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</si>
  <si>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</si>
  <si>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</si>
  <si>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</si>
  <si>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</si>
  <si>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</si>
  <si>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</si>
  <si>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</si>
  <si>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</si>
  <si>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</si>
  <si>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</si>
  <si>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</si>
  <si>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</si>
  <si>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</si>
  <si>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</si>
  <si>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</si>
  <si>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</si>
  <si>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</si>
  <si>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</si>
  <si>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</si>
  <si>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</si>
  <si>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</si>
  <si>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</si>
  <si>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</si>
  <si>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</si>
  <si>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</si>
  <si>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</si>
  <si>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</si>
  <si>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</si>
  <si>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</si>
  <si>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</si>
  <si>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</si>
  <si>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</si>
  <si>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</si>
  <si>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</si>
  <si>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</si>
  <si>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</si>
  <si>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</si>
  <si>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</si>
  <si>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</si>
  <si>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</si>
  <si>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</si>
  <si>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</si>
  <si>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</si>
  <si>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</si>
  <si>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</si>
  <si>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</si>
  <si>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</si>
  <si>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</si>
  <si>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</si>
  <si>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</si>
  <si>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</si>
  <si>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</si>
  <si>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</si>
  <si>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</si>
  <si>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</si>
  <si>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</si>
  <si>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</si>
  <si>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</si>
  <si>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</si>
  <si>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</si>
  <si>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</si>
  <si>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</si>
  <si>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</si>
  <si>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</si>
  <si>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</si>
  <si>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</si>
  <si>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</si>
  <si>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</si>
  <si>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</si>
  <si>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</si>
  <si>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</si>
  <si>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</si>
  <si>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</si>
  <si>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</si>
  <si>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</si>
  <si>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</si>
  <si>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</si>
  <si>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</si>
  <si>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</si>
  <si>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</si>
  <si>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</si>
  <si>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</si>
  <si>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</si>
  <si>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</si>
  <si>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</si>
  <si>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</si>
  <si>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</si>
  <si>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</si>
  <si>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</si>
  <si>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</si>
  <si>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</si>
  <si>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</si>
  <si>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</si>
  <si>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</si>
  <si>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</si>
  <si>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</si>
  <si>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</si>
  <si>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</si>
  <si>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</si>
  <si>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</si>
  <si>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</si>
  <si>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</si>
  <si>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</si>
  <si>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</si>
  <si>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</si>
  <si>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</si>
  <si>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</si>
  <si>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</si>
  <si>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</si>
  <si>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</si>
  <si>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</si>
  <si>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</si>
  <si>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</si>
  <si>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</si>
  <si>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</si>
  <si>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</si>
  <si>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</si>
  <si>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</si>
  <si>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</si>
  <si>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</si>
  <si>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</si>
  <si>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</si>
  <si>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</si>
  <si>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</si>
  <si>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</si>
  <si>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</si>
  <si>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</si>
  <si>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</si>
  <si>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</si>
  <si>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</si>
  <si>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</si>
  <si>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</si>
  <si>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</si>
  <si>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</si>
  <si>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</si>
  <si>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</si>
  <si>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</si>
  <si>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</si>
  <si>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</si>
  <si>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</si>
  <si>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</si>
  <si>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</si>
  <si>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</si>
  <si>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</si>
  <si>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</si>
  <si>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</si>
  <si>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</si>
  <si>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</si>
  <si>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</si>
  <si>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</si>
  <si>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</si>
  <si>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</si>
  <si>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</si>
  <si>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</si>
  <si>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</si>
  <si>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</si>
  <si>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</si>
  <si>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</si>
  <si>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</si>
  <si>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</si>
  <si>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</si>
  <si>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</si>
  <si>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</si>
  <si>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</si>
  <si>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</si>
  <si>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</si>
  <si>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</si>
  <si>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</si>
  <si>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</si>
  <si>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</si>
  <si>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</si>
  <si>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</si>
  <si>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</si>
  <si>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</si>
  <si>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</si>
  <si>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</si>
  <si>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</si>
  <si>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</si>
  <si>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</si>
  <si>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</si>
  <si>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</si>
  <si>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</si>
  <si>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</si>
  <si>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</si>
  <si>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</si>
  <si>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</si>
  <si>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</si>
  <si>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</si>
  <si>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</si>
  <si>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</si>
  <si>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</si>
  <si>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</si>
  <si>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</si>
  <si>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</si>
  <si>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</si>
  <si>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</si>
  <si>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</si>
  <si>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</si>
  <si>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</si>
  <si>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</si>
  <si>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</si>
  <si>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</si>
  <si>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</si>
  <si>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</si>
  <si>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</si>
  <si>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</si>
  <si>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</si>
  <si>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</si>
  <si>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</si>
  <si>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</si>
  <si>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</si>
  <si>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</si>
  <si>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</si>
  <si>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</si>
  <si>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</si>
  <si>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</si>
  <si>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</si>
  <si>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</si>
  <si>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</si>
  <si>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</si>
  <si>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</si>
  <si>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</si>
  <si>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</si>
  <si>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</si>
  <si>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</si>
  <si>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</si>
  <si>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</si>
  <si>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</si>
  <si>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</si>
  <si>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</si>
  <si>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</si>
  <si>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</si>
  <si>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</si>
  <si>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</si>
  <si>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</si>
  <si>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</si>
  <si>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</si>
  <si>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</si>
  <si>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</si>
  <si>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</si>
  <si>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</si>
  <si>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</si>
  <si>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</si>
  <si>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</si>
  <si>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</si>
  <si>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</si>
  <si>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</si>
  <si>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</si>
  <si>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</si>
  <si>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</si>
  <si>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</si>
  <si>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</si>
  <si>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</si>
  <si>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</si>
  <si>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</si>
  <si>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</si>
  <si>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</si>
  <si>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</si>
  <si>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</si>
  <si>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</si>
  <si>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</si>
  <si>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</si>
  <si>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</si>
  <si>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</si>
  <si>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</si>
  <si>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</si>
  <si>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</si>
  <si>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</si>
  <si>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</si>
  <si>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</si>
  <si>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</si>
  <si>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</si>
  <si>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</si>
  <si>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</si>
  <si>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</si>
  <si>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</si>
  <si>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</si>
  <si>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</si>
  <si>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</si>
  <si>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</si>
  <si>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</si>
  <si>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</si>
  <si>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</si>
  <si>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</si>
  <si>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</si>
  <si>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</si>
  <si>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</si>
  <si>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</si>
  <si>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</si>
  <si>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</si>
  <si>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</si>
  <si>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</si>
  <si>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</si>
  <si>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</si>
  <si>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</si>
  <si>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</si>
  <si>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</si>
  <si>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</si>
  <si>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</si>
  <si>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</si>
  <si>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</si>
  <si>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</si>
  <si>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</si>
  <si>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</si>
  <si>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</si>
  <si>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</si>
  <si>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</si>
  <si>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</si>
  <si>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</si>
  <si>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</si>
  <si>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</si>
  <si>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</si>
  <si>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</si>
  <si>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</si>
  <si>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</si>
  <si>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</si>
  <si>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</si>
  <si>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</si>
  <si>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</si>
  <si>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</si>
  <si>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</si>
  <si>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</si>
  <si>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</si>
  <si>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</si>
  <si>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</si>
  <si>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</si>
  <si>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</si>
  <si>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</si>
  <si>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</si>
  <si>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</si>
  <si>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</si>
  <si>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</si>
  <si>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</si>
  <si>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</si>
  <si>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</si>
  <si>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</si>
  <si>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</si>
  <si>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</si>
  <si>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</si>
  <si>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</si>
  <si>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</si>
  <si>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</si>
  <si>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</si>
  <si>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</si>
  <si>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</si>
  <si>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</si>
  <si>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</si>
  <si>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</si>
  <si>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</si>
  <si>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</si>
  <si>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</si>
  <si>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</si>
  <si>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</si>
  <si>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</si>
  <si>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</si>
  <si>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</si>
  <si>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</si>
  <si>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</si>
  <si>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</si>
  <si>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</si>
  <si>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</si>
  <si>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</si>
  <si>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</si>
  <si>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</si>
  <si>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</si>
  <si>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</si>
  <si>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</si>
  <si>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</si>
  <si>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</si>
  <si>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</si>
  <si>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</si>
  <si>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</si>
  <si>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</si>
  <si>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</si>
  <si>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</si>
  <si>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</si>
  <si>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</si>
  <si>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</si>
  <si>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</si>
  <si>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</si>
  <si>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</si>
  <si>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</si>
  <si>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</si>
  <si>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</si>
  <si>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</si>
  <si>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</si>
  <si>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</si>
  <si>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</si>
  <si>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</si>
  <si>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</si>
  <si>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</si>
  <si>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</si>
  <si>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</si>
  <si>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</si>
  <si>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</si>
  <si>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</si>
  <si>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</si>
  <si>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</si>
  <si>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</si>
  <si>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</si>
  <si>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</si>
  <si>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</si>
  <si>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</si>
  <si>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</si>
  <si>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</si>
  <si>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</si>
  <si>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</si>
  <si>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</si>
  <si>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</si>
  <si>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</si>
  <si>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</si>
  <si>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</si>
  <si>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</si>
  <si>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</si>
  <si>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</si>
  <si>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</si>
  <si>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</si>
  <si>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</si>
  <si>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</si>
  <si>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</si>
  <si>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</si>
  <si>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</si>
  <si>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</si>
  <si>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</si>
  <si>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</si>
  <si>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</si>
  <si>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</si>
  <si>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</si>
  <si>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</si>
  <si>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</si>
  <si>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</si>
  <si>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</si>
  <si>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</si>
  <si>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</si>
  <si>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</si>
  <si>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</si>
  <si>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</si>
  <si>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</si>
  <si>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</si>
  <si>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</si>
  <si>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</si>
  <si>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</si>
  <si>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</si>
  <si>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</si>
  <si>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</si>
  <si>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</si>
  <si>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</si>
  <si>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</si>
  <si>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</si>
  <si>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</si>
  <si>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</si>
  <si>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</si>
  <si>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</si>
  <si>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</si>
  <si>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</si>
  <si>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</si>
  <si>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</si>
  <si>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</si>
  <si>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</si>
  <si>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</si>
  <si>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</si>
  <si>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</si>
  <si>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</si>
  <si>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</si>
  <si>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</si>
  <si>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</si>
  <si>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</si>
  <si>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</si>
  <si>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</si>
  <si>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</si>
  <si>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</si>
  <si>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</si>
  <si>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</si>
  <si>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</si>
  <si>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</si>
  <si>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</si>
  <si>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</si>
  <si>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</si>
  <si>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</si>
  <si>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</si>
  <si>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</si>
  <si>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</si>
  <si>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</si>
  <si>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</si>
  <si>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</si>
  <si>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</si>
  <si>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</si>
  <si>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</si>
  <si>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</si>
  <si>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</si>
  <si>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</si>
  <si>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</si>
  <si>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</si>
  <si>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</si>
  <si>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</si>
  <si>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</si>
  <si>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</si>
  <si>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</si>
  <si>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</si>
  <si>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</si>
  <si>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</si>
  <si>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</si>
  <si>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</si>
  <si>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</si>
  <si>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</si>
  <si>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</si>
  <si>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</si>
  <si>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</si>
  <si>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</si>
  <si>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</si>
  <si>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</si>
  <si>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</si>
  <si>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</si>
  <si>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</si>
  <si>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</si>
  <si>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</si>
  <si>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</si>
  <si>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</si>
  <si>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</si>
  <si>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</si>
  <si>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</si>
  <si>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</si>
  <si>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</si>
  <si>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</si>
  <si>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</si>
  <si>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</si>
  <si>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</si>
  <si>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</si>
  <si>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</si>
  <si>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</si>
  <si>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</si>
  <si>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</si>
  <si>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</si>
  <si>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</si>
  <si>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</si>
  <si>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</si>
  <si>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</si>
  <si>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</si>
  <si>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</si>
  <si>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</si>
  <si>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</si>
  <si>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</si>
  <si>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</si>
  <si>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</si>
  <si>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</si>
  <si>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</si>
  <si>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</si>
  <si>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</si>
  <si>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</si>
  <si>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</si>
  <si>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</si>
  <si>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</si>
  <si>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</si>
  <si>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</si>
  <si>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</si>
  <si>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</si>
  <si>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</si>
  <si>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</si>
  <si>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</si>
  <si>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</si>
  <si>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</si>
  <si>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</si>
  <si>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</si>
  <si>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</si>
  <si>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</si>
  <si>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</si>
  <si>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</si>
  <si>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</si>
  <si>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</si>
  <si>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</si>
  <si>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</si>
  <si>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</si>
  <si>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</si>
  <si>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</si>
  <si>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</si>
  <si>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</si>
  <si>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</si>
  <si>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</si>
  <si>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</si>
  <si>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</si>
  <si>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</si>
  <si>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</si>
  <si>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</si>
  <si>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</si>
  <si>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</si>
  <si>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</si>
  <si>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</si>
  <si>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</si>
  <si>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</si>
  <si>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</si>
  <si>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</si>
  <si>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</si>
  <si>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</si>
  <si>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</si>
  <si>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</si>
  <si>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</si>
  <si>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</si>
  <si>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</si>
  <si>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</si>
  <si>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</si>
  <si>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</si>
  <si>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</si>
  <si>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</si>
  <si>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</si>
  <si>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</si>
  <si>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</si>
  <si>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</si>
  <si>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</si>
  <si>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</si>
  <si>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</si>
  <si>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</si>
  <si>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</si>
  <si>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</si>
  <si>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</si>
  <si>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</si>
  <si>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</si>
  <si>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</si>
  <si>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</si>
  <si>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</si>
  <si>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</si>
  <si>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</si>
  <si>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</si>
  <si>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</si>
  <si>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</si>
  <si>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</si>
  <si>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</si>
  <si>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</si>
  <si>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</si>
  <si>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</si>
  <si>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</si>
  <si>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</si>
  <si>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</si>
  <si>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</si>
  <si>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</si>
  <si>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</si>
  <si>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</si>
  <si>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</si>
  <si>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</si>
  <si>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</si>
  <si>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</si>
  <si>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</si>
  <si>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</si>
  <si>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</si>
  <si>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</si>
  <si>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</si>
  <si>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</si>
  <si>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</si>
  <si>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</si>
  <si>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</si>
  <si>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</si>
  <si>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</si>
  <si>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</si>
  <si>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</si>
  <si>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</si>
  <si>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</si>
  <si>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</si>
  <si>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</si>
  <si>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</si>
  <si>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</si>
  <si>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</si>
  <si>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</si>
  <si>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</si>
  <si>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</si>
  <si>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</si>
  <si>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</si>
  <si>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</si>
  <si>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</si>
  <si>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</si>
  <si>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</si>
  <si>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</si>
  <si>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</si>
  <si>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</si>
  <si>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</si>
  <si>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</si>
  <si>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</si>
  <si>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</si>
  <si>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</si>
  <si>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</si>
  <si>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</si>
  <si>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</si>
  <si>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</si>
  <si>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</si>
  <si>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</si>
  <si>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</si>
  <si>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</si>
  <si>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</si>
  <si>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</si>
  <si>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</si>
  <si>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</si>
  <si>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</si>
  <si>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</si>
  <si>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</si>
  <si>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</si>
  <si>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</si>
  <si>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</si>
  <si>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</si>
  <si>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</si>
  <si>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</si>
  <si>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</si>
  <si>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</si>
  <si>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</si>
  <si>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</si>
  <si>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</si>
  <si>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</si>
  <si>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</si>
  <si>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</si>
  <si>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</si>
  <si>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</si>
  <si>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</si>
  <si>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</si>
  <si>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</si>
  <si>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</si>
  <si>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</si>
  <si>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</si>
  <si>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</si>
  <si>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</si>
  <si>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</si>
  <si>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</si>
  <si>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</si>
  <si>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</si>
  <si>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</si>
  <si>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</si>
  <si>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</si>
  <si>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WätaS Wärmetauscher Sachsen GmbH</t>
  </si>
  <si>
    <t>Lindenstraße 5, D-09526 Olbernhau</t>
  </si>
  <si>
    <t>info@waetas.de</t>
  </si>
  <si>
    <t>0049 37360 69 49 0</t>
  </si>
  <si>
    <t>Frau Yvonne Glöß</t>
  </si>
  <si>
    <t>Herr Enrico Böhme</t>
  </si>
  <si>
    <t>Vertriebsassistentin</t>
  </si>
  <si>
    <t>gloess@waetas.de</t>
  </si>
  <si>
    <t>0049 37360 69 49 39</t>
  </si>
  <si>
    <t>nicht zutreffend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</si>
</sst>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info@waetas.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gloess@waetas.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86"/>
      <c r="B2" s="5" t="s">
        <v>847</v>
      </c>
      <c r="C2" s="3"/>
      <c r="D2" s="175"/>
      <c r="E2" s="3"/>
      <c r="F2" s="3"/>
      <c r="G2" s="25"/>
    </row>
    <row r="3" spans="1:7">
      <c r="A3" s="286"/>
      <c r="B3" s="3" t="s">
        <v>839</v>
      </c>
      <c r="C3" s="5"/>
      <c r="D3" s="176"/>
      <c r="E3" s="3"/>
      <c r="F3" s="5"/>
      <c r="G3" s="25"/>
    </row>
    <row r="4" spans="1:7" ht="15.75">
      <c r="A4" s="286"/>
      <c r="B4" s="30" t="s">
        <v>849</v>
      </c>
      <c r="C4" s="6"/>
      <c r="D4" s="177"/>
      <c r="E4" s="3"/>
      <c r="F4" s="6"/>
      <c r="G4" s="25"/>
    </row>
    <row r="5" spans="1:7">
      <c r="A5" s="286"/>
      <c r="B5" s="29" t="s">
        <v>1040</v>
      </c>
      <c r="C5" s="4"/>
      <c r="D5" s="178"/>
      <c r="E5" s="3"/>
      <c r="F5" s="4"/>
      <c r="G5" s="25"/>
    </row>
    <row r="6" spans="1:7">
      <c r="A6" s="286"/>
      <c r="B6" s="3"/>
      <c r="C6" s="3"/>
      <c r="D6" s="175"/>
      <c r="E6" s="3"/>
      <c r="F6" s="3"/>
      <c r="G6" s="25"/>
    </row>
    <row r="7" spans="1:7">
      <c r="A7" s="286"/>
      <c r="B7" s="3"/>
      <c r="C7" s="3"/>
      <c r="D7" s="175"/>
      <c r="E7" s="3"/>
      <c r="F7" s="3"/>
      <c r="G7" s="25"/>
    </row>
    <row r="8" spans="1:7">
      <c r="A8" s="286"/>
      <c r="B8" s="3"/>
      <c r="C8" s="3"/>
      <c r="D8" s="175"/>
      <c r="E8" s="3"/>
      <c r="F8" s="3"/>
      <c r="G8" s="25"/>
    </row>
    <row r="9" spans="1:7">
      <c r="A9" s="286"/>
      <c r="B9" s="289" t="s">
        <v>850</v>
      </c>
      <c r="C9" s="289"/>
      <c r="D9" s="289"/>
      <c r="E9" s="289"/>
      <c r="F9" s="289"/>
      <c r="G9" s="25"/>
    </row>
    <row r="10" spans="1:7" ht="27" customHeight="1">
      <c r="A10" s="286"/>
      <c r="B10" s="290" t="s">
        <v>438</v>
      </c>
      <c r="C10" s="290"/>
      <c r="D10" s="290"/>
      <c r="E10" s="290"/>
      <c r="F10" s="290"/>
      <c r="G10" s="25"/>
    </row>
    <row r="11" spans="1:7" ht="27" customHeight="1">
      <c r="A11" s="286"/>
      <c r="B11" s="291"/>
      <c r="C11" s="291"/>
      <c r="D11" s="291"/>
      <c r="E11" s="291"/>
      <c r="F11" s="291"/>
      <c r="G11" s="25"/>
    </row>
    <row r="12" spans="1:7">
      <c r="A12" s="286"/>
      <c r="B12" s="31" t="s">
        <v>848</v>
      </c>
      <c r="C12" s="32" t="s">
        <v>851</v>
      </c>
      <c r="D12" s="179" t="s">
        <v>852</v>
      </c>
      <c r="E12" s="32" t="s">
        <v>612</v>
      </c>
      <c r="F12" s="32" t="s">
        <v>613</v>
      </c>
      <c r="G12" s="25"/>
    </row>
    <row r="13" spans="1:7" ht="33.75">
      <c r="A13" s="286"/>
      <c r="B13" s="2">
        <v>1</v>
      </c>
      <c r="C13" s="27" t="s">
        <v>1088</v>
      </c>
      <c r="D13" s="28" t="s">
        <v>876</v>
      </c>
      <c r="E13" s="163" t="s">
        <v>853</v>
      </c>
      <c r="F13" s="163"/>
      <c r="G13" s="25"/>
    </row>
    <row r="14" spans="1:7" ht="33.75">
      <c r="A14" s="286"/>
      <c r="B14" s="2">
        <v>2</v>
      </c>
      <c r="C14" s="27" t="s">
        <v>1088</v>
      </c>
      <c r="D14" s="28" t="s">
        <v>1025</v>
      </c>
      <c r="E14" s="163" t="s">
        <v>530</v>
      </c>
      <c r="F14" s="163" t="s">
        <v>531</v>
      </c>
      <c r="G14" s="25"/>
    </row>
    <row r="15" spans="1:7" ht="89.1" customHeight="1">
      <c r="A15" s="286"/>
      <c r="B15" s="292">
        <v>2.0099999999999998</v>
      </c>
      <c r="C15" s="295" t="s">
        <v>1088</v>
      </c>
      <c r="D15" s="298" t="s">
        <v>2263</v>
      </c>
      <c r="E15" s="164" t="s">
        <v>614</v>
      </c>
      <c r="F15" s="164" t="s">
        <v>617</v>
      </c>
      <c r="G15" s="25"/>
    </row>
    <row r="16" spans="1:7" ht="99" customHeight="1">
      <c r="A16" s="286"/>
      <c r="B16" s="293"/>
      <c r="C16" s="296"/>
      <c r="D16" s="299"/>
      <c r="E16" s="165"/>
      <c r="F16" s="165" t="s">
        <v>615</v>
      </c>
      <c r="G16" s="25"/>
    </row>
    <row r="17" spans="1:7" ht="63" customHeight="1">
      <c r="A17" s="286"/>
      <c r="B17" s="294"/>
      <c r="C17" s="297"/>
      <c r="D17" s="300"/>
      <c r="E17" s="27"/>
      <c r="F17" s="27" t="s">
        <v>616</v>
      </c>
      <c r="G17" s="25"/>
    </row>
    <row r="18" spans="1:7" ht="117" customHeight="1">
      <c r="A18" s="286"/>
      <c r="B18" s="292">
        <v>2.02</v>
      </c>
      <c r="C18" s="295" t="s">
        <v>1088</v>
      </c>
      <c r="D18" s="298" t="s">
        <v>2264</v>
      </c>
      <c r="E18" s="164" t="s">
        <v>439</v>
      </c>
      <c r="F18" s="164" t="s">
        <v>525</v>
      </c>
      <c r="G18" s="25"/>
    </row>
    <row r="19" spans="1:7" ht="71.099999999999994" customHeight="1">
      <c r="A19" s="286"/>
      <c r="B19" s="293"/>
      <c r="C19" s="296"/>
      <c r="D19" s="299"/>
      <c r="E19" s="165" t="s">
        <v>529</v>
      </c>
      <c r="F19" s="165" t="s">
        <v>440</v>
      </c>
      <c r="G19" s="25"/>
    </row>
    <row r="20" spans="1:7" ht="90.75" customHeight="1">
      <c r="A20" s="286"/>
      <c r="B20" s="293"/>
      <c r="C20" s="296"/>
      <c r="D20" s="299"/>
      <c r="E20" s="165"/>
      <c r="F20" s="165" t="s">
        <v>619</v>
      </c>
      <c r="G20" s="25"/>
    </row>
    <row r="21" spans="1:7" ht="74.25" customHeight="1">
      <c r="A21" s="286"/>
      <c r="B21" s="294"/>
      <c r="C21" s="297"/>
      <c r="D21" s="300"/>
      <c r="E21" s="27"/>
      <c r="F21" s="27" t="s">
        <v>618</v>
      </c>
      <c r="G21" s="25"/>
    </row>
    <row r="22" spans="1:7" ht="90" customHeight="1">
      <c r="A22" s="286"/>
      <c r="B22" s="304">
        <v>2.0299999999999998</v>
      </c>
      <c r="C22" s="304" t="s">
        <v>822</v>
      </c>
      <c r="D22" s="307" t="s">
        <v>2265</v>
      </c>
      <c r="E22" s="295" t="s">
        <v>437</v>
      </c>
      <c r="F22" s="164" t="s">
        <v>460</v>
      </c>
      <c r="G22" s="25"/>
    </row>
    <row r="23" spans="1:7" ht="109.5" customHeight="1">
      <c r="A23" s="286"/>
      <c r="B23" s="305"/>
      <c r="C23" s="305"/>
      <c r="D23" s="308"/>
      <c r="E23" s="296"/>
      <c r="F23" s="165" t="s">
        <v>823</v>
      </c>
      <c r="G23" s="25"/>
    </row>
    <row r="24" spans="1:7" ht="74.25" customHeight="1">
      <c r="A24" s="286"/>
      <c r="B24" s="306"/>
      <c r="C24" s="306"/>
      <c r="D24" s="309"/>
      <c r="E24" s="297"/>
      <c r="F24" s="27" t="s">
        <v>436</v>
      </c>
      <c r="G24" s="25"/>
    </row>
    <row r="25" spans="1:7" ht="72" customHeight="1">
      <c r="A25" s="286"/>
      <c r="B25" s="2" t="s">
        <v>458</v>
      </c>
      <c r="C25" s="27" t="s">
        <v>459</v>
      </c>
      <c r="D25" s="28" t="s">
        <v>2266</v>
      </c>
      <c r="E25" s="27" t="s">
        <v>2261</v>
      </c>
      <c r="F25" s="27" t="s">
        <v>461</v>
      </c>
      <c r="G25" s="25"/>
    </row>
    <row r="26" spans="1:7" ht="98.1" customHeight="1">
      <c r="A26" s="286"/>
      <c r="B26" s="301">
        <v>3</v>
      </c>
      <c r="C26" s="292" t="s">
        <v>70</v>
      </c>
      <c r="D26" s="298" t="s">
        <v>2267</v>
      </c>
      <c r="E26" s="295" t="s">
        <v>0</v>
      </c>
      <c r="F26" s="164" t="s">
        <v>64</v>
      </c>
      <c r="G26" s="25"/>
    </row>
    <row r="27" spans="1:7" ht="90" customHeight="1">
      <c r="A27" s="286"/>
      <c r="B27" s="302"/>
      <c r="C27" s="293"/>
      <c r="D27" s="299"/>
      <c r="E27" s="296"/>
      <c r="F27" s="165" t="s">
        <v>59</v>
      </c>
      <c r="G27" s="25"/>
    </row>
    <row r="28" spans="1:7" ht="19.350000000000001" customHeight="1">
      <c r="A28" s="286"/>
      <c r="B28" s="302"/>
      <c r="C28" s="293"/>
      <c r="D28" s="299"/>
      <c r="E28" s="296"/>
      <c r="F28" s="165" t="s">
        <v>60</v>
      </c>
      <c r="G28" s="25"/>
    </row>
    <row r="29" spans="1:7" ht="74.650000000000006" customHeight="1">
      <c r="A29" s="286"/>
      <c r="B29" s="302"/>
      <c r="C29" s="293"/>
      <c r="D29" s="299"/>
      <c r="E29" s="296"/>
      <c r="F29" s="165" t="s">
        <v>61</v>
      </c>
      <c r="G29" s="25"/>
    </row>
    <row r="30" spans="1:7" ht="62.65" customHeight="1">
      <c r="A30" s="286"/>
      <c r="B30" s="302"/>
      <c r="C30" s="293"/>
      <c r="D30" s="299"/>
      <c r="E30" s="296"/>
      <c r="F30" s="165" t="s">
        <v>62</v>
      </c>
      <c r="G30" s="25"/>
    </row>
    <row r="31" spans="1:7" ht="81" customHeight="1">
      <c r="A31" s="286"/>
      <c r="B31" s="302"/>
      <c r="C31" s="293"/>
      <c r="D31" s="299"/>
      <c r="E31" s="296"/>
      <c r="F31" s="165" t="s">
        <v>63</v>
      </c>
      <c r="G31" s="25"/>
    </row>
    <row r="32" spans="1:7" ht="48.75" customHeight="1">
      <c r="A32" s="286"/>
      <c r="B32" s="302"/>
      <c r="C32" s="293"/>
      <c r="D32" s="299"/>
      <c r="E32" s="296"/>
      <c r="F32" s="165" t="s">
        <v>66</v>
      </c>
      <c r="G32" s="25"/>
    </row>
    <row r="33" spans="1:7" ht="98.65" customHeight="1">
      <c r="A33" s="286"/>
      <c r="B33" s="302"/>
      <c r="C33" s="293"/>
      <c r="D33" s="299"/>
      <c r="E33" s="296"/>
      <c r="F33" s="165" t="s">
        <v>65</v>
      </c>
      <c r="G33" s="25"/>
    </row>
    <row r="34" spans="1:7" ht="89.1" customHeight="1">
      <c r="A34" s="286"/>
      <c r="B34" s="302"/>
      <c r="C34" s="293"/>
      <c r="D34" s="299"/>
      <c r="E34" s="296"/>
      <c r="F34" s="165" t="s">
        <v>67</v>
      </c>
      <c r="G34" s="25"/>
    </row>
    <row r="35" spans="1:7" ht="29.1" customHeight="1">
      <c r="A35" s="286"/>
      <c r="B35" s="302"/>
      <c r="C35" s="293"/>
      <c r="D35" s="299"/>
      <c r="E35" s="296"/>
      <c r="F35" s="165" t="s">
        <v>68</v>
      </c>
      <c r="G35" s="25"/>
    </row>
    <row r="36" spans="1:7" ht="126.75">
      <c r="A36" s="286"/>
      <c r="B36" s="303"/>
      <c r="C36" s="294"/>
      <c r="D36" s="300"/>
      <c r="E36" s="297"/>
      <c r="F36" s="166" t="s">
        <v>69</v>
      </c>
      <c r="G36" s="25"/>
    </row>
    <row r="37" spans="1:7" ht="112.5">
      <c r="A37" s="286"/>
      <c r="B37" s="141">
        <v>3.01</v>
      </c>
      <c r="C37" s="142" t="s">
        <v>70</v>
      </c>
      <c r="D37" s="28" t="s">
        <v>2268</v>
      </c>
      <c r="E37" s="167" t="s">
        <v>1328</v>
      </c>
      <c r="F37" s="168" t="s">
        <v>1434</v>
      </c>
      <c r="G37" s="25"/>
    </row>
    <row r="38" spans="1:7" ht="101.25">
      <c r="A38" s="286"/>
      <c r="B38" s="141">
        <v>3.02</v>
      </c>
      <c r="C38" s="142" t="s">
        <v>1361</v>
      </c>
      <c r="D38" s="28" t="s">
        <v>2269</v>
      </c>
      <c r="E38" s="167" t="s">
        <v>1376</v>
      </c>
      <c r="F38" s="168" t="s">
        <v>1435</v>
      </c>
      <c r="G38" s="25"/>
    </row>
    <row r="39" spans="1:7" ht="101.25">
      <c r="A39" s="286"/>
      <c r="B39" s="150">
        <v>4</v>
      </c>
      <c r="C39" s="149" t="s">
        <v>1531</v>
      </c>
      <c r="D39" s="28" t="s">
        <v>2270</v>
      </c>
      <c r="E39" s="27" t="s">
        <v>2213</v>
      </c>
      <c r="F39" s="27" t="s">
        <v>1532</v>
      </c>
      <c r="G39" s="25"/>
    </row>
    <row r="40" spans="1:7" ht="56.25">
      <c r="A40" s="286"/>
      <c r="B40" s="141">
        <v>4.01</v>
      </c>
      <c r="C40" s="149" t="s">
        <v>1531</v>
      </c>
      <c r="D40" s="28" t="s">
        <v>2272</v>
      </c>
      <c r="E40" s="27" t="s">
        <v>2227</v>
      </c>
      <c r="F40" s="27" t="s">
        <v>2231</v>
      </c>
      <c r="G40" s="25"/>
    </row>
    <row r="41" spans="1:7" ht="56.25">
      <c r="A41" s="286"/>
      <c r="B41" s="141" t="s">
        <v>2259</v>
      </c>
      <c r="C41" s="149" t="s">
        <v>1531</v>
      </c>
      <c r="D41" s="28" t="s">
        <v>2271</v>
      </c>
      <c r="E41" s="27" t="s">
        <v>2262</v>
      </c>
      <c r="F41" s="27" t="s">
        <v>2260</v>
      </c>
      <c r="G41" s="25"/>
    </row>
    <row r="42" spans="1:7" ht="56.25">
      <c r="A42" s="286"/>
      <c r="B42" s="141" t="s">
        <v>2295</v>
      </c>
      <c r="C42" s="149" t="s">
        <v>1531</v>
      </c>
      <c r="D42" s="28" t="s">
        <v>2302</v>
      </c>
      <c r="E42" s="27" t="s">
        <v>2261</v>
      </c>
      <c r="F42" s="27" t="s">
        <v>2296</v>
      </c>
      <c r="G42" s="25"/>
    </row>
    <row r="43" spans="1:7" ht="123.75">
      <c r="A43" s="286"/>
      <c r="B43" s="160">
        <v>4.0999999999999996</v>
      </c>
      <c r="C43" s="149" t="s">
        <v>2301</v>
      </c>
      <c r="D43" s="161">
        <v>42867</v>
      </c>
      <c r="E43" s="169" t="s">
        <v>2304</v>
      </c>
      <c r="F43" s="27" t="s">
        <v>2303</v>
      </c>
      <c r="G43" s="25"/>
    </row>
    <row r="44" spans="1:7" ht="78.75">
      <c r="A44" s="286"/>
      <c r="B44" s="160">
        <v>4.2</v>
      </c>
      <c r="C44" s="149" t="s">
        <v>2301</v>
      </c>
      <c r="D44" s="161">
        <v>42704</v>
      </c>
      <c r="E44" s="169" t="s">
        <v>2503</v>
      </c>
      <c r="F44" s="27" t="s">
        <v>2478</v>
      </c>
      <c r="G44" s="25"/>
    </row>
    <row r="45" spans="1:7" ht="157.5">
      <c r="A45" s="286"/>
      <c r="B45" s="203">
        <v>5</v>
      </c>
      <c r="C45" s="149" t="s">
        <v>2301</v>
      </c>
      <c r="D45" s="161">
        <v>42867</v>
      </c>
      <c r="E45" s="169" t="s">
        <v>12784</v>
      </c>
      <c r="F45" s="27" t="s">
        <v>12506</v>
      </c>
      <c r="G45" s="25"/>
    </row>
    <row r="46" spans="1:7" ht="45">
      <c r="A46" s="286"/>
      <c r="B46" s="160">
        <v>5.01</v>
      </c>
      <c r="C46" s="149" t="s">
        <v>2301</v>
      </c>
      <c r="D46" s="161">
        <v>42907</v>
      </c>
      <c r="E46" s="169" t="s">
        <v>15650</v>
      </c>
      <c r="F46" s="27" t="s">
        <v>12506</v>
      </c>
      <c r="G46" s="25"/>
    </row>
    <row r="47" spans="1:7" ht="67.5">
      <c r="A47" s="286"/>
      <c r="B47" s="160">
        <v>5.0999999999999996</v>
      </c>
      <c r="C47" s="149" t="s">
        <v>2301</v>
      </c>
      <c r="D47" s="161">
        <v>43070</v>
      </c>
      <c r="E47" s="169" t="s">
        <v>12994</v>
      </c>
      <c r="F47" s="27" t="s">
        <v>12995</v>
      </c>
      <c r="G47" s="25"/>
    </row>
    <row r="48" spans="1:7" ht="56.25">
      <c r="A48" s="286"/>
      <c r="B48" s="160">
        <v>5.1100000000000003</v>
      </c>
      <c r="C48" s="149" t="s">
        <v>13232</v>
      </c>
      <c r="D48" s="161">
        <v>43217</v>
      </c>
      <c r="E48" s="169" t="s">
        <v>13358</v>
      </c>
      <c r="F48" s="27" t="s">
        <v>13266</v>
      </c>
      <c r="G48" s="25"/>
    </row>
    <row r="49" spans="1:7" ht="56.25">
      <c r="A49" s="286"/>
      <c r="B49" s="160">
        <v>5.12</v>
      </c>
      <c r="C49" s="149" t="s">
        <v>13232</v>
      </c>
      <c r="D49" s="161">
        <v>43581</v>
      </c>
      <c r="E49" s="169" t="s">
        <v>13358</v>
      </c>
      <c r="F49" s="27" t="s">
        <v>13920</v>
      </c>
      <c r="G49" s="25"/>
    </row>
    <row r="50" spans="1:7" ht="78.75">
      <c r="A50" s="286"/>
      <c r="B50" s="203">
        <v>6</v>
      </c>
      <c r="C50" s="149" t="s">
        <v>13232</v>
      </c>
      <c r="D50" s="161">
        <v>43964</v>
      </c>
      <c r="E50" s="169" t="s">
        <v>14138</v>
      </c>
      <c r="F50" s="27" t="s">
        <v>13925</v>
      </c>
      <c r="G50" s="25"/>
    </row>
    <row r="51" spans="1:7" ht="45">
      <c r="A51" s="286"/>
      <c r="B51" s="160">
        <v>6.01</v>
      </c>
      <c r="C51" s="149" t="s">
        <v>13232</v>
      </c>
      <c r="D51" s="161">
        <v>43970</v>
      </c>
      <c r="E51" s="169" t="s">
        <v>15651</v>
      </c>
      <c r="F51" s="169" t="s">
        <v>13925</v>
      </c>
      <c r="G51" s="25"/>
    </row>
    <row r="52" spans="1:7" ht="45">
      <c r="A52" s="286"/>
      <c r="B52" s="160">
        <v>6.1</v>
      </c>
      <c r="C52" s="149" t="s">
        <v>13232</v>
      </c>
      <c r="D52" s="161">
        <v>44314</v>
      </c>
      <c r="E52" s="169" t="s">
        <v>15631</v>
      </c>
      <c r="F52" s="169" t="s">
        <v>15144</v>
      </c>
      <c r="G52" s="25"/>
    </row>
    <row r="53" spans="1:7" ht="45">
      <c r="A53" s="286"/>
      <c r="B53" s="160">
        <v>6.2</v>
      </c>
      <c r="C53" s="149" t="s">
        <v>13232</v>
      </c>
      <c r="D53" s="161">
        <v>44678</v>
      </c>
      <c r="E53" s="169" t="s">
        <v>15631</v>
      </c>
      <c r="F53" s="169" t="s">
        <v>15624</v>
      </c>
      <c r="G53" s="25"/>
    </row>
    <row r="54" spans="1:7" ht="45">
      <c r="A54" s="286"/>
      <c r="B54" s="160">
        <v>6.21</v>
      </c>
      <c r="C54" s="149" t="s">
        <v>13232</v>
      </c>
      <c r="D54" s="161">
        <v>44687</v>
      </c>
      <c r="E54" s="169" t="s">
        <v>15652</v>
      </c>
      <c r="F54" s="169" t="s">
        <v>15624</v>
      </c>
      <c r="G54" s="25"/>
    </row>
    <row r="55" spans="1:7" ht="45">
      <c r="A55" s="286"/>
      <c r="B55" s="160">
        <v>6.22</v>
      </c>
      <c r="C55" s="149" t="s">
        <v>13232</v>
      </c>
      <c r="D55" s="279">
        <v>44692</v>
      </c>
      <c r="E55" s="169" t="s">
        <v>15651</v>
      </c>
      <c r="F55" s="169" t="s">
        <v>15624</v>
      </c>
      <c r="G55" s="25"/>
    </row>
    <row r="56" spans="1:7" ht="13.5" thickBot="1">
      <c r="A56" s="287"/>
      <c r="B56" s="288" t="str">
        <f ca="1">OFFSET(L!$C$1,MATCH("General"&amp;"Cpy",L!$A:$A,0)-1,SL,,)</f>
        <v>© 2022 Responsible Minerals Initiative. All rights reserved.</v>
      </c>
      <c r="C56" s="288"/>
      <c r="D56" s="288"/>
      <c r="E56" s="288"/>
      <c r="F56" s="288"/>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2D5EA31-51A2-40CC-9C8A-1683BA1B9EC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63C771CC-8F8E-49E3-8090-E8BFC688F9E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442</v>
      </c>
    </row>
    <row r="2" spans="1:2" ht="30">
      <c r="A2" s="105" t="str">
        <f ca="1">OFFSET(L!$C$1,MATCH("Instructions"&amp;ADDRESS(ROW(),COLUMN(),4),L!$A:$A,0)-1,SL,,)</f>
        <v>Einführung</v>
      </c>
      <c r="B2" s="100" t="s">
        <v>1304</v>
      </c>
    </row>
    <row r="3" spans="1:2" ht="165">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1305</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1311</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1304</v>
      </c>
    </row>
    <row r="7" spans="1:2" ht="15">
      <c r="A7" s="240"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1303</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1304</v>
      </c>
    </row>
    <row r="13" spans="1:2" ht="33.75" customHeight="1">
      <c r="A13" s="102" t="str">
        <f ca="1">OFFSET(L!$C$1,MATCH("Instructions"&amp;ADDRESS(ROW(),COLUMN(),4),L!$A:$A,0)-1,SL,,)</f>
        <v>6. Geben Sie den Namen der Kontaktperson zum Inhalt der Erklärung an. Dies ist ein obligatorisches Feld.</v>
      </c>
      <c r="B13" s="100"/>
    </row>
    <row r="14" spans="1:2" ht="30">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30">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1304</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1304</v>
      </c>
    </row>
    <row r="24" spans="1:2" ht="80.650000000000006"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1307</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1304</v>
      </c>
    </row>
    <row r="26" spans="1:2" ht="280.89999999999998"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1304</v>
      </c>
    </row>
    <row r="27" spans="1:2" ht="30">
      <c r="A27" s="102" t="str">
        <f ca="1">OFFSET(L!$C$1,MATCH("Instructions"&amp;ADDRESS(ROW(),COLUMN(),4),L!$A:$A,0)-1,SL,,)</f>
        <v>Manche Unternehmen benötigen eine Begründung für eine "Nein" -Antwort im Kommentarfeld</v>
      </c>
      <c r="B27" s="100" t="s">
        <v>1304</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1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v>
      </c>
      <c r="B29" s="100" t="s">
        <v>1304</v>
      </c>
    </row>
    <row r="30" spans="1:2" ht="181.9"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v>
      </c>
      <c r="B30" s="100"/>
    </row>
    <row r="31" spans="1:2" ht="135">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1304</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1307</v>
      </c>
    </row>
    <row r="33" spans="1:2" ht="75">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1304</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1304</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1306</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650000000000006"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1309</v>
      </c>
    </row>
    <row r="42" spans="1:2" ht="18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1307</v>
      </c>
    </row>
    <row r="43" spans="1:2" ht="150">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1308</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1304</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1305</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1304</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1304</v>
      </c>
    </row>
    <row r="49" spans="1:2" ht="22.5" customHeight="1">
      <c r="A49" s="240"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1303</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1304</v>
      </c>
    </row>
    <row r="52" spans="1:2" ht="44.6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9.150000000000006"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1304</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1303</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1309</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1303</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1303</v>
      </c>
    </row>
    <row r="58" spans="1:2" ht="60">
      <c r="A58" s="102" t="str">
        <f ca="1">OFFSET(L!$C$1,MATCH("Instructions"&amp;ADDRESS(ROW(),COLUMN(),4),L!$A:$A,0)-1,SL,,)</f>
        <v>8. Straße der Schmelzhütte – Geben Sie den Straßennamen des Schmelzhüttenstandortes an. Das Ausfüllen dieses Feldes ist freiwillig.</v>
      </c>
      <c r="B58" s="100" t="s">
        <v>1303</v>
      </c>
    </row>
    <row r="59" spans="1:2" ht="30">
      <c r="A59" s="102" t="str">
        <f ca="1">OFFSET(L!$C$1,MATCH("Instructions"&amp;ADDRESS(ROW(),COLUMN(),4),L!$A:$A,0)-1,SL,,)</f>
        <v>9. Ort der Schmelzhütte – Geben Sie den Namen des Ortes an, in dem sich die Schmelzhütte befindet. Das Ausfüllen dieses Feldes ist freiwillig.</v>
      </c>
      <c r="B59" s="100" t="s">
        <v>1304</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1307</v>
      </c>
    </row>
    <row r="61" spans="1:2" ht="180">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1307</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1303</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1303</v>
      </c>
    </row>
    <row r="64" spans="1:2" ht="136.1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650000000000006"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1304</v>
      </c>
    </row>
    <row r="71" spans="1:2" ht="93.6" customHeight="1">
      <c r="A71" s="240"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1310</v>
      </c>
    </row>
    <row r="72" spans="1:2" ht="155.44999999999999" customHeight="1">
      <c r="A72" s="240"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1308</v>
      </c>
    </row>
    <row r="73" spans="1:2" ht="75">
      <c r="A73" s="240"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Posten</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Zinn, Tantal, Wolfram, Gold</v>
      </c>
      <c r="D3" s="314"/>
      <c r="E3" s="100" t="s">
        <v>1312</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14"/>
      <c r="E4" s="100"/>
    </row>
    <row r="5" spans="1:5" ht="60">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14"/>
      <c r="E5" s="100"/>
    </row>
    <row r="6" spans="1:5" ht="151.1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14"/>
      <c r="E6" s="100" t="s">
        <v>1313</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14"/>
      <c r="E7" s="100" t="s">
        <v>1313</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14"/>
      <c r="E8" s="100" t="s">
        <v>1316</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14"/>
      <c r="E9" s="100" t="s">
        <v>1313</v>
      </c>
    </row>
    <row r="10" spans="1:5" ht="45">
      <c r="A10" s="74"/>
      <c r="B10" s="63" t="str">
        <f ca="1">OFFSET(L!$C$1,MATCH("Definitions"&amp;ADDRESS(ROW(),COLUMN(),4),L!$A:$A,0)-1,SL,,)</f>
        <v>DRK</v>
      </c>
      <c r="C10" s="63" t="str">
        <f ca="1">OFFSET(L!$C$1,MATCH("Definitions"&amp;ADDRESS(ROW(),COLUMN(),4),L!$A:$A,0)-1,SL,,)</f>
        <v>Demokratische Republik Kongo</v>
      </c>
      <c r="D10" s="314"/>
      <c r="E10" s="100" t="s">
        <v>1312</v>
      </c>
    </row>
    <row r="11" spans="1:5" ht="60"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14"/>
      <c r="E11" s="100" t="s">
        <v>1312</v>
      </c>
    </row>
    <row r="12" spans="1:5" ht="60">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14"/>
      <c r="E12" s="100" t="s">
        <v>1312</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14"/>
      <c r="E13" s="100" t="s">
        <v>1314</v>
      </c>
    </row>
    <row r="14" spans="1:5" ht="300">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14"/>
      <c r="E14" s="100" t="s">
        <v>1312</v>
      </c>
    </row>
    <row r="15" spans="1:5" ht="135">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14"/>
      <c r="E15" s="100" t="s">
        <v>1312</v>
      </c>
    </row>
    <row r="16" spans="1:5" ht="60">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14"/>
      <c r="E16" s="100" t="s">
        <v>1312</v>
      </c>
    </row>
    <row r="17" spans="1:5" ht="180">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14"/>
      <c r="E17" s="100" t="s">
        <v>1312</v>
      </c>
    </row>
    <row r="18" spans="1:5" ht="150">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14"/>
      <c r="E18" s="100" t="s">
        <v>1312</v>
      </c>
    </row>
    <row r="19" spans="1:5" ht="15">
      <c r="A19" s="74"/>
      <c r="B19" s="63" t="str">
        <f ca="1">OFFSET(L!$C$1,MATCH("Definitions"&amp;ADDRESS(ROW(),COLUMN(),4),L!$A:$A,0)-1,SL,,)</f>
        <v>OECD</v>
      </c>
      <c r="C19" s="63" t="str">
        <f ca="1">OFFSET(L!$C$1,MATCH("Definitions"&amp;ADDRESS(ROW(),COLUMN(),4),L!$A:$A,0)-1,SL,,)</f>
        <v>Organisation für wirtschaftliche Zusammenarbeit und Entwicklung</v>
      </c>
      <c r="D19" s="314"/>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14"/>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14"/>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14"/>
      <c r="E27" s="100" t="s">
        <v>1312</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14"/>
      <c r="E28" s="100" t="s">
        <v>1313</v>
      </c>
    </row>
    <row r="29" spans="1:5" ht="90">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14"/>
      <c r="E29" s="100" t="s">
        <v>1314</v>
      </c>
    </row>
    <row r="30" spans="1:5" ht="151.9"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14"/>
      <c r="E30" s="100" t="s">
        <v>1315</v>
      </c>
    </row>
    <row r="31" spans="1:5" ht="136.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19" zoomScalePageLayoutView="70" workbookViewId="0">
      <selection activeCell="D89" sqref="D89:E8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35"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536</v>
      </c>
      <c r="E3" s="3"/>
      <c r="F3" s="350"/>
      <c r="G3" s="350"/>
      <c r="H3" s="350"/>
      <c r="I3" s="152"/>
      <c r="J3" s="138" t="s">
        <v>15654</v>
      </c>
      <c r="K3" s="36"/>
      <c r="L3" s="100"/>
      <c r="P3" s="45">
        <f>MATCH($D$3,LN,0)</f>
        <v>7</v>
      </c>
    </row>
    <row r="4" spans="1:34" ht="15.75">
      <c r="A4" s="34"/>
      <c r="B4" s="346" t="str">
        <f ca="1">OFFSET(L!$C$1,MATCH("Declaration"&amp;ADDRESS(ROW(),COLUMN(),4),L!$A:$A,0)-1,SL,,)</f>
        <v>Der Zweck dieses Dokuments ist die Erfassung von Beschaffungsinformationen für Zinn, Tantal, Wolfram und Gold, welche in Produkten genutzt werden.</v>
      </c>
      <c r="C4" s="346"/>
      <c r="D4" s="346"/>
      <c r="E4" s="346"/>
      <c r="F4" s="346"/>
      <c r="G4" s="346"/>
      <c r="H4" s="346"/>
      <c r="I4" s="351" t="str">
        <f ca="1">OFFSET(L!$C$1,MATCH("Declaration"&amp;ADDRESS(ROW(),COLUMN(),4),L!$A:$A,0)-1,SL,,)</f>
        <v>Link zu den Bedingungen</v>
      </c>
      <c r="J4" s="35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6" t="str">
        <f ca="1">OFFSET(L!$C$1,MATCH("Declaration"&amp;ADDRESS(ROW(),COLUMN(),4),L!$A:$A,0)-1,SL,,)</f>
        <v>Pflichtfelder sind mit einem Sternchen (*) gekennzeichnet.  Im Tab „Instruktionen“ finden Sie eine Anleitung zur Beantwortung aller Fragen.</v>
      </c>
      <c r="C6" s="346"/>
      <c r="D6" s="346"/>
      <c r="E6" s="346"/>
      <c r="F6" s="346"/>
      <c r="G6" s="346"/>
      <c r="H6" s="346"/>
      <c r="I6" s="346"/>
      <c r="J6" s="346"/>
      <c r="K6" s="36"/>
      <c r="L6" s="115" t="s">
        <v>443</v>
      </c>
      <c r="P6" s="3"/>
      <c r="Q6" s="3"/>
      <c r="R6" s="3"/>
      <c r="S6" s="3"/>
      <c r="T6" s="3"/>
      <c r="U6" s="3"/>
      <c r="V6" s="3"/>
      <c r="W6" s="3"/>
      <c r="X6" s="3"/>
      <c r="Y6" s="3"/>
      <c r="Z6" s="3"/>
      <c r="AA6" s="3"/>
      <c r="AB6" s="3"/>
      <c r="AC6" s="3"/>
      <c r="AD6" s="3"/>
      <c r="AE6" s="3"/>
      <c r="AF6" s="3"/>
      <c r="AG6" s="3"/>
      <c r="AH6" s="3"/>
    </row>
    <row r="7" spans="1:34" ht="37.15" customHeight="1">
      <c r="A7" s="34"/>
      <c r="B7" s="355" t="str">
        <f ca="1">OFFSET(L!$C$1,MATCH("Declaration"&amp;ADDRESS(ROW(),COLUMN(),4),L!$A:$A,0)-1,SL,,)</f>
        <v>Firmenangaben</v>
      </c>
      <c r="C7" s="355"/>
      <c r="D7" s="355"/>
      <c r="E7" s="355"/>
      <c r="F7" s="355"/>
      <c r="G7" s="355"/>
      <c r="H7" s="355"/>
      <c r="I7" s="355"/>
      <c r="J7" s="35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40" t="s">
        <v>15655</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52" t="s">
        <v>494</v>
      </c>
      <c r="E9" s="353"/>
      <c r="F9" s="353"/>
      <c r="G9" s="354"/>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6" t="str">
        <f ca="1">OFFSET(L!$C$1,MATCH("Declaration"&amp;ADDRESS(ROW(),COLUMN(),4)&amp;LEFT($D$9,1),L!$A:$A,0)-1,SL,,)</f>
        <v>Beschreibung des Geltungsbereichs</v>
      </c>
      <c r="C10" s="122"/>
      <c r="D10" s="347"/>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5.75">
      <c r="A11" s="38"/>
      <c r="B11" s="357"/>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43" t="s">
        <v>15656</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43" t="s">
        <v>15660</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58" t="s">
        <v>15657</v>
      </c>
      <c r="E16" s="359"/>
      <c r="F16" s="359"/>
      <c r="G16" s="359"/>
      <c r="H16" s="359"/>
      <c r="I16" s="359"/>
      <c r="J16" s="36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43" t="s">
        <v>15658</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76" t="s">
        <v>15659</v>
      </c>
      <c r="E18" s="377"/>
      <c r="F18" s="377"/>
      <c r="G18" s="377"/>
      <c r="H18" s="377"/>
      <c r="I18" s="377"/>
      <c r="J18" s="37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43" t="s">
        <v>15661</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58" t="s">
        <v>15662</v>
      </c>
      <c r="E20" s="359"/>
      <c r="F20" s="359"/>
      <c r="G20" s="359"/>
      <c r="H20" s="359"/>
      <c r="I20" s="359"/>
      <c r="J20" s="36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16" t="s">
        <v>15663</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21">
        <v>44952</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3" t="str">
        <f ca="1">OFFSET(L!$C$1,MATCH("Declaration"&amp;ADDRESS(ROW(),COLUMN(),4),L!$A:$A,0)-1,SL,,)</f>
        <v>Beantworten Sie die Fragen 1 - 8 entsprechend dem oben angegebenen Geltungsbereich</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0" t="str">
        <f ca="1">OFFSET(L!$C$1,MATCH("Declaration"&amp;ADDRESS(ROW(),COLUMN(),4),L!$A:$A,0)-1,SL,,)</f>
        <v>Antwort</v>
      </c>
      <c r="E25" s="330"/>
      <c r="F25" s="18"/>
      <c r="G25" s="44" t="str">
        <f ca="1">OFFSET(L!$C$1,MATCH("Declaration"&amp;ADDRESS(ROW(),COLUMN(),4),L!$A:$A,0)-1,SL,,)</f>
        <v>Kommentare</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19" t="s">
        <v>489</v>
      </c>
      <c r="E26" s="320"/>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Zinn  </v>
      </c>
      <c r="C27" s="35"/>
      <c r="D27" s="319" t="s">
        <v>489</v>
      </c>
      <c r="E27" s="320"/>
      <c r="F27" s="12"/>
      <c r="G27" s="327"/>
      <c r="H27" s="328"/>
      <c r="I27" s="328"/>
      <c r="J27" s="329"/>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19" t="s">
        <v>489</v>
      </c>
      <c r="E28" s="320"/>
      <c r="F28" s="12"/>
      <c r="G28" s="327"/>
      <c r="H28" s="328"/>
      <c r="I28" s="328"/>
      <c r="J28" s="329"/>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19" t="s">
        <v>489</v>
      </c>
      <c r="E29" s="320"/>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 xml:space="preserve">2) Liegen in dem/den Produkt(en) 3TG-Rückstände vor? </v>
      </c>
      <c r="C31" s="10"/>
      <c r="D31" s="324" t="str">
        <f ca="1">D25</f>
        <v>Antwort</v>
      </c>
      <c r="E31" s="324"/>
      <c r="F31" s="18"/>
      <c r="G31" s="44" t="str">
        <f ca="1">G25</f>
        <v>Kommentare</v>
      </c>
      <c r="H31" s="44"/>
      <c r="I31" s="44"/>
      <c r="J31" s="83"/>
      <c r="K31" s="36"/>
      <c r="L31" s="111" t="s">
        <v>1243</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25" t="s">
        <v>489</v>
      </c>
      <c r="E32" s="326"/>
      <c r="F32" s="47"/>
      <c r="G32" s="327"/>
      <c r="H32" s="328"/>
      <c r="I32" s="328"/>
      <c r="J32" s="329"/>
      <c r="K32" s="36"/>
      <c r="L32" s="116"/>
      <c r="P32" s="45" t="str">
        <f>IF(D$32="No","","(*)")</f>
        <v/>
      </c>
      <c r="Q32" s="3"/>
      <c r="R32" s="3"/>
      <c r="S32" s="3"/>
      <c r="T32" s="3"/>
      <c r="U32" s="3"/>
      <c r="V32" s="3"/>
      <c r="W32" s="3"/>
      <c r="X32" s="3"/>
      <c r="Y32" s="3"/>
      <c r="Z32" s="3"/>
      <c r="AA32" s="3"/>
      <c r="AB32" s="3"/>
      <c r="AC32" s="3"/>
      <c r="AD32" s="3"/>
      <c r="AE32" s="3"/>
      <c r="AF32" s="3"/>
      <c r="AG32" s="3"/>
      <c r="AH32" s="3"/>
    </row>
    <row r="33" spans="1:34" ht="22.5">
      <c r="A33" s="41"/>
      <c r="B33" s="40" t="str">
        <f ca="1">B27</f>
        <v xml:space="preserve">Zinn  </v>
      </c>
      <c r="C33" s="10"/>
      <c r="D33" s="319" t="s">
        <v>489</v>
      </c>
      <c r="E33" s="320"/>
      <c r="F33" s="47"/>
      <c r="G33" s="327"/>
      <c r="H33" s="328"/>
      <c r="I33" s="328"/>
      <c r="J33" s="329"/>
      <c r="K33" s="36"/>
      <c r="L33" s="116"/>
      <c r="P33" s="45" t="str">
        <f>IF(D$33="No","","(*)")</f>
        <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19" t="s">
        <v>489</v>
      </c>
      <c r="E34" s="320"/>
      <c r="F34" s="47"/>
      <c r="G34" s="327"/>
      <c r="H34" s="328"/>
      <c r="I34" s="328"/>
      <c r="J34" s="329"/>
      <c r="K34" s="36"/>
      <c r="L34" s="116"/>
      <c r="P34" s="45" t="str">
        <f>IF(D$34="No","","(*)")</f>
        <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19" t="s">
        <v>489</v>
      </c>
      <c r="E35" s="320"/>
      <c r="F35" s="47"/>
      <c r="G35" s="327"/>
      <c r="H35" s="328"/>
      <c r="I35" s="328"/>
      <c r="J35" s="329"/>
      <c r="K35" s="36"/>
      <c r="L35" s="116"/>
      <c r="P35" s="45" t="str">
        <f>IF(D$35="No","","(*)")</f>
        <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v>
      </c>
      <c r="C37" s="10"/>
      <c r="D37" s="324" t="str">
        <f ca="1">D25</f>
        <v>Antwort</v>
      </c>
      <c r="E37" s="324"/>
      <c r="F37" s="18"/>
      <c r="G37" s="44" t="str">
        <f ca="1">G25</f>
        <v>Kommentare</v>
      </c>
      <c r="H37" s="367"/>
      <c r="I37" s="367"/>
      <c r="J37" s="367"/>
      <c r="K37" s="36"/>
      <c r="L37" s="111" t="s">
        <v>1243</v>
      </c>
      <c r="P37" s="45">
        <f>COUNTIF(D$26:D$29,"No")+COUNTIF(D$32:D$35,"No")</f>
        <v>8</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19" t="s">
        <v>489</v>
      </c>
      <c r="E38" s="320"/>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Zinn  </v>
      </c>
      <c r="C39" s="10"/>
      <c r="D39" s="319" t="s">
        <v>489</v>
      </c>
      <c r="E39" s="320"/>
      <c r="F39" s="47"/>
      <c r="G39" s="327"/>
      <c r="H39" s="328"/>
      <c r="I39" s="328"/>
      <c r="J39" s="329"/>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19" t="s">
        <v>489</v>
      </c>
      <c r="E40" s="320"/>
      <c r="F40" s="47"/>
      <c r="G40" s="327"/>
      <c r="H40" s="328"/>
      <c r="I40" s="328"/>
      <c r="J40" s="329"/>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19" t="s">
        <v>489</v>
      </c>
      <c r="E41" s="320"/>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v>
      </c>
      <c r="C43" s="10"/>
      <c r="D43" s="324" t="str">
        <f ca="1">D25</f>
        <v>Antwort</v>
      </c>
      <c r="E43" s="324"/>
      <c r="F43" s="18"/>
      <c r="G43" s="44" t="str">
        <f ca="1">G25</f>
        <v>Kommentare</v>
      </c>
      <c r="H43" s="44"/>
      <c r="I43" s="44"/>
      <c r="J43" s="83"/>
      <c r="K43" s="36"/>
      <c r="L43" s="111"/>
      <c r="P43" s="45">
        <f>COUNTIF(D$26:D$29,"No")+COUNTIF(D$32:D$35,"No")</f>
        <v>8</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19"/>
      <c r="E44" s="320"/>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Zinn  </v>
      </c>
      <c r="C45" s="10"/>
      <c r="D45" s="319"/>
      <c r="E45" s="320"/>
      <c r="F45" s="47"/>
      <c r="G45" s="327"/>
      <c r="H45" s="328"/>
      <c r="I45" s="328"/>
      <c r="J45" s="329"/>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19"/>
      <c r="E46" s="320"/>
      <c r="F46" s="47"/>
      <c r="G46" s="327"/>
      <c r="H46" s="328"/>
      <c r="I46" s="328"/>
      <c r="J46" s="329"/>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19"/>
      <c r="E47" s="320"/>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Stammt das für die Funktionalität oder  Herstellung Ihrer Produkte benötigte 3TG-Mineral zu 100 % aus Recycling- oder Schrottquellen? </v>
      </c>
      <c r="C49" s="10"/>
      <c r="D49" s="324" t="str">
        <f ca="1">D25</f>
        <v>Antwort</v>
      </c>
      <c r="E49" s="324"/>
      <c r="F49" s="18"/>
      <c r="G49" s="44" t="str">
        <f ca="1">G25</f>
        <v>Kommentare</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19"/>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Zinn  </v>
      </c>
      <c r="C51" s="10"/>
      <c r="D51" s="319"/>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19"/>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19"/>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Wie hoch ist der Prozentsatz an Lieferanten, die auf Ihre Lieferkettenumfrage geantwortet haben?</v>
      </c>
      <c r="C55" s="10"/>
      <c r="D55" s="324" t="str">
        <f ca="1">D25</f>
        <v>Antwort</v>
      </c>
      <c r="E55" s="324"/>
      <c r="F55" s="18"/>
      <c r="G55" s="44" t="str">
        <f ca="1">G25</f>
        <v>Kommentare</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61"/>
      <c r="E56" s="362"/>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Zinn  </v>
      </c>
      <c r="C57" s="35"/>
      <c r="D57" s="361"/>
      <c r="E57" s="362"/>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1"/>
      <c r="E58" s="362"/>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61"/>
      <c r="E59" s="362"/>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 xml:space="preserve">7) Haben Sie alle Schmelzhütten ermittelt, die das 3TG-Mineral für Ihre Lieferkette bereitstellen? </v>
      </c>
      <c r="C61" s="10"/>
      <c r="D61" s="324" t="str">
        <f ca="1">D25</f>
        <v>Antwort</v>
      </c>
      <c r="E61" s="324"/>
      <c r="F61" s="18"/>
      <c r="G61" s="44" t="str">
        <f ca="1">G25</f>
        <v>Kommentare</v>
      </c>
      <c r="H61" s="366"/>
      <c r="I61" s="366"/>
      <c r="J61" s="366"/>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25"/>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Zinn  </v>
      </c>
      <c r="C63" s="10"/>
      <c r="D63" s="319"/>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19"/>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19"/>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Haben Sie alle relevanten Informationen, die Ihr Unternehmen zu den Schmelzhütten erhalten hat, in dieser Erklärung aufgeführt? </v>
      </c>
      <c r="C67" s="10"/>
      <c r="D67" s="324" t="str">
        <f ca="1">D25</f>
        <v>Antwort</v>
      </c>
      <c r="E67" s="324"/>
      <c r="F67" s="18"/>
      <c r="G67" s="44" t="str">
        <f ca="1">G25</f>
        <v>Kommentare</v>
      </c>
      <c r="H67" s="366" t="str">
        <f>IF(Q75="(*)","Click here to enter smelter names","")</f>
        <v/>
      </c>
      <c r="I67" s="366"/>
      <c r="J67" s="366"/>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19"/>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Zinn  </v>
      </c>
      <c r="C69" s="35"/>
      <c r="D69" s="319"/>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19"/>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19"/>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9" t="str">
        <f ca="1">OFFSET(L!$C$1,MATCH("Declaration"&amp;ADDRESS(ROW(),COLUMN(),4),L!$A:$A,0)-1,SL,,)</f>
        <v>Beantworten Sie folgende Fragen auf Firmenebene</v>
      </c>
      <c r="C73" s="379"/>
      <c r="D73" s="379"/>
      <c r="E73" s="379"/>
      <c r="F73" s="379"/>
      <c r="G73" s="379"/>
      <c r="H73" s="379"/>
      <c r="I73" s="379"/>
      <c r="J73" s="37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0" t="str">
        <f ca="1">D25</f>
        <v>Antwort</v>
      </c>
      <c r="E74" s="330"/>
      <c r="F74" s="53"/>
      <c r="G74" s="330" t="str">
        <f ca="1">G25</f>
        <v>Kommentare</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v>
      </c>
      <c r="C75" s="57"/>
      <c r="D75" s="319" t="s">
        <v>489</v>
      </c>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4"/>
      <c r="H76" s="374"/>
      <c r="I76" s="374"/>
      <c r="J76" s="37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v>
      </c>
      <c r="C77" s="57"/>
      <c r="D77" s="319" t="s">
        <v>489</v>
      </c>
      <c r="E77" s="320"/>
      <c r="F77" s="57"/>
      <c r="G77" s="331"/>
      <c r="H77" s="332"/>
      <c r="I77" s="332"/>
      <c r="J77" s="333"/>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v>
      </c>
      <c r="C79" s="57"/>
      <c r="D79" s="319" t="s">
        <v>489</v>
      </c>
      <c r="E79" s="320"/>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v>
      </c>
      <c r="C81" s="57"/>
      <c r="D81" s="319" t="s">
        <v>489</v>
      </c>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v>
      </c>
      <c r="C83" s="57"/>
      <c r="D83" s="319" t="s">
        <v>489</v>
      </c>
      <c r="E83" s="320"/>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v>
      </c>
      <c r="C85" s="57"/>
      <c r="D85" s="372"/>
      <c r="E85" s="373"/>
      <c r="F85" s="57"/>
      <c r="G85" s="327" t="s">
        <v>15664</v>
      </c>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4"/>
      <c r="H86" s="374"/>
      <c r="I86" s="374"/>
      <c r="J86" s="37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v>
      </c>
      <c r="C87" s="57"/>
      <c r="D87" s="319"/>
      <c r="E87" s="320"/>
      <c r="F87" s="57"/>
      <c r="G87" s="327" t="s">
        <v>15664</v>
      </c>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5"/>
      <c r="H88" s="375"/>
      <c r="I88" s="375"/>
      <c r="J88" s="37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Ist Ihr Unternehmen zu einer jährlichen Offenlegung der Konfliktmineralien verpflichtet?</v>
      </c>
      <c r="C89" s="57"/>
      <c r="D89" s="319" t="s">
        <v>489</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5.75" thickBot="1">
      <c r="A91" s="369" t="str">
        <f ca="1">OFFSET(L!$C$1,MATCH("General"&amp;"Cpy",L!$A:$A,0)-1,SL,,)</f>
        <v>© 2022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A3AB9F7-15AD-4F9D-9AAA-DBB6F4327E38}"/>
    <hyperlink ref="D20" r:id="rId4" xr:uid="{9CBE2B94-5FA1-4F68-84A9-0D8960E3CAB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baseColWidth="10"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UM ZU BEGINNEN:</v>
      </c>
      <c r="C2" s="172"/>
      <c r="D2" s="172"/>
      <c r="E2" s="172"/>
      <c r="F2" s="193"/>
      <c r="G2" s="193"/>
      <c r="H2" s="193"/>
      <c r="I2" s="194"/>
      <c r="J2" s="380" t="str">
        <f ca="1">OFFSET(L!$C$1,MATCH("Smelter List"&amp;ADDRESS(ROW(),COLUMN(),4),L!$A:$A,0)-1,SL,,)</f>
        <v>Link zur "RMAP Conformant Smelter"- Liste</v>
      </c>
      <c r="K2" s="381"/>
      <c r="L2" s="381"/>
      <c r="M2" s="381"/>
      <c r="N2" s="381"/>
      <c r="O2" s="381"/>
      <c r="P2" s="195"/>
      <c r="Q2" s="196"/>
      <c r="R2" s="197"/>
      <c r="S2" s="197"/>
      <c r="T2" s="197"/>
      <c r="AH2" s="145" t="s">
        <v>488</v>
      </c>
    </row>
    <row r="3" spans="1:34" s="222" customFormat="1" ht="173.45" customHeight="1">
      <c r="A3" s="171"/>
      <c r="B3" s="382"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 xml:space="preserve">Eingabespalte Schmelzhüttenidentifizierungsnummer </v>
      </c>
      <c r="B4" s="217" t="str">
        <f ca="1">OFFSET(L!$C$1,MATCH("Smelter List"&amp;ADDRESS(ROW(),COLUMN(),4),L!$A:$A,0)-1,SL,,)</f>
        <v>Metall (1)</v>
      </c>
      <c r="C4" s="217" t="str">
        <f ca="1">OFFSET(L!$C$1,MATCH("Smelter List"&amp;ADDRESS(ROW(),COLUMN(),4),L!$A:$A,0)-1,SL,,)</f>
        <v>Schmelzhüttensuche (*)</v>
      </c>
      <c r="D4" s="217" t="str">
        <f ca="1">OFFSET(L!$C$1,MATCH("Smelter List"&amp;ADDRESS(ROW(),COLUMN(),4),L!$A:$A,0)-1,SL,,)</f>
        <v>Schmelzhüttenname (1)</v>
      </c>
      <c r="E4" s="217" t="str">
        <f ca="1">OFFSET(L!$C$1,MATCH("Smelter List"&amp;ADDRESS(ROW(),COLUMN(),4),L!$A:$A,0)-1,SL,,)</f>
        <v>Schmelzhütten: Land (*)</v>
      </c>
      <c r="F4" s="217" t="str">
        <f ca="1">OFFSET(L!$C$1,MATCH("Smelter List"&amp;ADDRESS(ROW(),COLUMN(),4),L!$A:$A,0)-1,SL,,)</f>
        <v>Schmelzhütte Identifizierung</v>
      </c>
      <c r="G4" s="217"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7" t="s">
        <v>12499</v>
      </c>
      <c r="S4" s="217" t="s">
        <v>12482</v>
      </c>
      <c r="T4" s="217" t="s">
        <v>12483</v>
      </c>
      <c r="U4" s="200"/>
      <c r="W4" s="159" t="s">
        <v>1324</v>
      </c>
      <c r="X4" s="159" t="s">
        <v>942</v>
      </c>
      <c r="AH4" s="145" t="s">
        <v>490</v>
      </c>
    </row>
    <row r="5" spans="1:34" s="228" customFormat="1" ht="19.899999999999999" customHeight="1">
      <c r="A5" s="266"/>
      <c r="B5" s="182" t="str">
        <f>IF(LEN(A5)=0,"",INDEX('Smelter Look-up'!$A:$A,MATCH($A5,'Smelter Look-up'!$E:$E,0)))</f>
        <v/>
      </c>
      <c r="C5" s="186" t="str">
        <f>IF(LEN(A5)=0,"",INDEX('Smelter Look-up'!$C:$C,MATCH($A5,'Smelter Look-up'!$E:$E,0)))</f>
        <v/>
      </c>
      <c r="D5" s="233"/>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5"/>
      <c r="L5" s="225"/>
      <c r="M5" s="225"/>
      <c r="N5" s="225"/>
      <c r="O5" s="225"/>
      <c r="P5" s="185"/>
      <c r="Q5" s="226"/>
      <c r="R5" s="182" t="str">
        <f ca="1">IF(ISERROR($V5),"",OFFSET('Smelter Look-up'!$C$4,$V5-4,0)&amp;"")</f>
        <v/>
      </c>
      <c r="S5" s="181" t="str">
        <f t="shared" ref="S5" ca="1" si="0">IF(B5="","",IF(ISERROR(MATCH($E5,CL,0)),"Unknown",INDIRECT("'C'!$A$"&amp;MATCH($E5,CL,0)+1)))</f>
        <v/>
      </c>
      <c r="T5" s="181" t="str">
        <f ca="1">IF(B5="","",IF(ISERROR(MATCH($J5,SorP!$B$1:$B$6230,0)),"",INDIRECT("'SorP'!$A$"&amp;MATCH($J5,SorP!$B$1:$B$6230,0))))</f>
        <v/>
      </c>
      <c r="U5" s="201"/>
      <c r="V5" s="227" t="e">
        <f>IF(C5="",NA(),IF(OR(C5="Smelter not listed",C5="Smelter not yet identified"),MATCH($B5&amp;$D5,'Smelter Look-up'!$J:$J,0),MATCH($B5&amp;$C5,'Smelter Look-up'!$J:$J,0)))</f>
        <v>#N/A</v>
      </c>
      <c r="X5" s="228">
        <f t="shared" ref="X5" ca="1" si="1">IF(AND(C5="Smelter not listed",OR(LEN(D5)=0,LEN(E5)=0)),1,0)</f>
        <v>0</v>
      </c>
      <c r="AB5" s="229" t="str">
        <f t="shared" ref="AB5" si="2">B5&amp;C5</f>
        <v/>
      </c>
    </row>
    <row r="6" spans="1:34" s="228" customFormat="1" ht="19.899999999999999" customHeight="1">
      <c r="A6" s="266"/>
      <c r="B6" s="182" t="str">
        <f>IF(LEN(A6)=0,"",INDEX('Smelter Look-up'!$A:$A,MATCH($A6,'Smelter Look-up'!$E:$E,0)))</f>
        <v/>
      </c>
      <c r="C6" s="186" t="str">
        <f>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ref="S6:S37" ca="1" si="3">IF(B6="","",IF(ISERROR(MATCH($E6,CL,0)),"Unknown",INDIRECT("'C'!$A$"&amp;MATCH($E6,CL,0)+1)))</f>
        <v/>
      </c>
      <c r="T6" s="181" t="str">
        <f ca="1">IF(B6="","",IF(ISERROR(MATCH($J6,SorP!$B$1:$B$6230,0)),"",INDIRECT("'SorP'!$A$"&amp;MATCH($J6,SorP!$B$1:$B$6230,0))))</f>
        <v/>
      </c>
      <c r="U6" s="201"/>
      <c r="V6" s="227" t="e">
        <f>IF(C6="",NA(),IF(OR(C6="Smelter not listed",C6="Smelter not yet identified"),MATCH($B6&amp;$D6,'Smelter Look-up'!$J:$J,0),MATCH($B6&amp;$C6,'Smelter Look-up'!$J:$J,0)))</f>
        <v>#N/A</v>
      </c>
      <c r="X6" s="228">
        <f t="shared" ref="X6:X37" ca="1" si="4">IF(AND(C6="Smelter not listed",OR(LEN(D6)=0,LEN(E6)=0)),1,0)</f>
        <v>0</v>
      </c>
      <c r="AB6" s="229" t="str">
        <f t="shared" ref="AB6:AB37" si="5">B6&amp;C6</f>
        <v/>
      </c>
    </row>
    <row r="7" spans="1:34" s="228" customFormat="1" ht="19.899999999999999"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
      </c>
      <c r="T7" s="181" t="str">
        <f ca="1">IF(B7="","",IF(ISERROR(MATCH($J7,SorP!$B$1:$B$6230,0)),"",INDIRECT("'SorP'!$A$"&amp;MATCH($J7,SorP!$B$1:$B$6230,0))))</f>
        <v/>
      </c>
      <c r="U7" s="201"/>
      <c r="V7" s="227" t="e">
        <f>IF(C7="",NA(),IF(OR(C7="Smelter not listed",C7="Smelter not yet identified"),MATCH($B7&amp;$D7,'Smelter Look-up'!$J:$J,0),MATCH($B7&amp;$C7,'Smelter Look-up'!$J:$J,0)))</f>
        <v>#N/A</v>
      </c>
      <c r="X7" s="228">
        <f t="shared" ca="1" si="4"/>
        <v>0</v>
      </c>
      <c r="AB7" s="229" t="str">
        <f t="shared" si="5"/>
        <v/>
      </c>
    </row>
    <row r="8" spans="1:34" s="228" customFormat="1" ht="19.899999999999999"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IF(B8="","",IF(ISERROR(MATCH($J8,SorP!$B$1:$B$6230,0)),"",INDIRECT("'SorP'!$A$"&amp;MATCH($J8,SorP!$B$1:$B$6230,0))))</f>
        <v/>
      </c>
      <c r="U8" s="201"/>
      <c r="V8" s="227" t="e">
        <f>IF(C8="",NA(),IF(OR(C8="Smelter not listed",C8="Smelter not yet identified"),MATCH($B8&amp;$D8,'Smelter Look-up'!$J:$J,0),MATCH($B8&amp;$C8,'Smelter Look-up'!$J:$J,0)))</f>
        <v>#N/A</v>
      </c>
      <c r="X8" s="228">
        <f t="shared" ca="1" si="4"/>
        <v>0</v>
      </c>
      <c r="AB8" s="229" t="str">
        <f t="shared" si="5"/>
        <v/>
      </c>
    </row>
    <row r="9" spans="1:34" s="228" customFormat="1" ht="19.899999999999999"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IF(B9="","",IF(ISERROR(MATCH($J9,SorP!$B$1:$B$6230,0)),"",INDIRECT("'SorP'!$A$"&amp;MATCH($J9,SorP!$B$1:$B$6230,0))))</f>
        <v/>
      </c>
      <c r="U9" s="201"/>
      <c r="V9" s="227" t="e">
        <f>IF(C9="",NA(),IF(OR(C9="Smelter not listed",C9="Smelter not yet identified"),MATCH($B9&amp;$D9,'Smelter Look-up'!$J:$J,0),MATCH($B9&amp;$C9,'Smelter Look-up'!$J:$J,0)))</f>
        <v>#N/A</v>
      </c>
      <c r="X9" s="228">
        <f t="shared" ca="1" si="4"/>
        <v>0</v>
      </c>
      <c r="AB9" s="229" t="str">
        <f t="shared" si="5"/>
        <v/>
      </c>
    </row>
    <row r="10" spans="1:34" s="228" customFormat="1" ht="19.899999999999999"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IF(B10="","",IF(ISERROR(MATCH($J10,SorP!$B$1:$B$6230,0)),"",INDIRECT("'SorP'!$A$"&amp;MATCH($J10,SorP!$B$1:$B$6230,0))))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19.899999999999999"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IF(B11="","",IF(ISERROR(MATCH($J11,SorP!$B$1:$B$6230,0)),"",INDIRECT("'SorP'!$A$"&amp;MATCH($J11,SorP!$B$1:$B$6230,0))))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19.899999999999999"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19.899999999999999"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IF(B13="","",IF(ISERROR(MATCH($J13,SorP!$B$1:$B$6230,0)),"",INDIRECT("'SorP'!$A$"&amp;MATCH($J13,SorP!$B$1:$B$6230,0))))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19.899999999999999"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19.899999999999999"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899999999999999"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899999999999999"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899999999999999"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25">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25">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25">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25">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25">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25">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25">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25">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3A880B2-F26A-4132-85CE-B805910E4573}"/>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8"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Um sicherzustellen, dass alle erforderlichen Felder vor dem Versand an ihren Kunden ausgefüllt sind, alle rot markierten Felder beachten.</v>
      </c>
      <c r="B1" s="385"/>
      <c r="C1" s="385"/>
      <c r="D1" s="119" t="str">
        <f ca="1">OFFSET(L!$C$1,MATCH("Checker"&amp;ADDRESS(ROW(),COLUMN(),4),L!$A:$A,0)-1,SL,,)</f>
        <v>Erforderliche Felder bitte vervollständigen.</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527</v>
      </c>
      <c r="G3" s="19" t="s">
        <v>526</v>
      </c>
      <c r="H3" s="19" t="s">
        <v>528</v>
      </c>
      <c r="I3" s="19" t="s">
        <v>1317</v>
      </c>
      <c r="J3" s="19" t="s">
        <v>1318</v>
      </c>
    </row>
    <row r="4" spans="1:10" ht="39">
      <c r="A4" s="90" t="str">
        <f ca="1">Declaration!B8</f>
        <v>Firmenname (*):</v>
      </c>
      <c r="B4" s="89" t="str">
        <f>Declaration!D8</f>
        <v>WätaS Wärmetauscher Sachsen GmbH</v>
      </c>
      <c r="C4" s="89" t="str">
        <f t="shared" ref="C4" ca="1" si="0">IF(H4=1,J4,I4)</f>
        <v>Vollständig</v>
      </c>
      <c r="D4" s="95" t="str">
        <f>IF(H4=1,"Click here to enter Company Name","")</f>
        <v/>
      </c>
      <c r="E4" s="20" t="s">
        <v>1307</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1307</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Herr Enrico Böhme</v>
      </c>
      <c r="C7" s="89" t="str">
        <f ca="1">IF(H7=1,J7,I7)</f>
        <v>Vollständig</v>
      </c>
      <c r="D7" s="95" t="str">
        <f>IF(H7=1,"Click here to enter Contact Name","")</f>
        <v/>
      </c>
      <c r="E7" s="20" t="s">
        <v>1307</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info@waetas.de</v>
      </c>
      <c r="C8" s="89" t="str">
        <f ca="1">IF(H8=1,J8,I8)</f>
        <v>Vollständig</v>
      </c>
      <c r="D8" s="95" t="str">
        <f>IF(H8=1,"Click here to enter Email-Contact","")</f>
        <v/>
      </c>
      <c r="E8" s="20" t="s">
        <v>1307</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7" t="str">
        <f>Declaration!D17</f>
        <v>0049 37360 69 49 0</v>
      </c>
      <c r="C9" s="89" t="str">
        <f ca="1">IF(H9=1,J9,I9)</f>
        <v>Vollständig</v>
      </c>
      <c r="D9" s="95" t="str">
        <f>IF(H9=1,"Click here to enter Phone-Contact","")</f>
        <v/>
      </c>
      <c r="E9" s="20" t="s">
        <v>1307</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Frau Yvonne Glöß</v>
      </c>
      <c r="C10" s="89" t="str">
        <f t="shared" ref="C10" ca="1" si="4">IF(H10=1,J10,I10)</f>
        <v>Vollständig</v>
      </c>
      <c r="D10" s="95" t="str">
        <f>IF(H10=1,"Click here to enter an Authorized Company Representative's name","")</f>
        <v/>
      </c>
      <c r="E10" s="20" t="s">
        <v>1307</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gloess@waetas.de</v>
      </c>
      <c r="C11" s="89" t="str">
        <f ca="1">IF(H11=1,J11,I11)</f>
        <v>Vollständig</v>
      </c>
      <c r="D11" s="95" t="str">
        <f>IF(H11=1,"Click here to enter Representative's email","")</f>
        <v/>
      </c>
      <c r="E11" s="20" t="s">
        <v>1307</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44952</v>
      </c>
      <c r="C12" s="89" t="str">
        <f ca="1">IF(H12=1,J12,I12)</f>
        <v>Vollständig</v>
      </c>
      <c r="D12" s="95" t="str">
        <f>IF(H12=1,"Click here to enter Date of Completion","")</f>
        <v/>
      </c>
      <c r="E12" s="20" t="s">
        <v>1307</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810</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806</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 xml:space="preserve">Zinn  </v>
      </c>
      <c r="B15" s="89" t="str">
        <f>Declaration!D27</f>
        <v>No</v>
      </c>
      <c r="C15" s="89" t="str">
        <f ca="1">IF(H15=1,J15,I15)</f>
        <v>Vollständig</v>
      </c>
      <c r="D15" s="95" t="str">
        <f>IF(H15=1,"Click here to answer question 1 for Tin","")</f>
        <v/>
      </c>
      <c r="E15" s="20" t="s">
        <v>807</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 xml:space="preserve">Gold  </v>
      </c>
      <c r="B16" s="89" t="str">
        <f>Declaration!D28</f>
        <v>No</v>
      </c>
      <c r="C16" s="89" t="str">
        <f ca="1">IF(H16=1,J16,I16)</f>
        <v>Vollständig</v>
      </c>
      <c r="D16" s="95" t="str">
        <f>IF(H16=1,"Click here to answer question 1 for Gold","")</f>
        <v/>
      </c>
      <c r="E16" s="20" t="s">
        <v>807</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807</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 xml:space="preserve">2) Liegen in dem/den Produkt(en) 3TG-Rückstände vor? </v>
      </c>
      <c r="B18" s="92"/>
      <c r="C18" s="92"/>
      <c r="D18" s="96"/>
      <c r="E18" s="20" t="s">
        <v>808</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807</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 xml:space="preserve">Zinn  </v>
      </c>
      <c r="B20" s="89">
        <f>IF($B$15="Yes",Declaration!D33,0)</f>
        <v>0</v>
      </c>
      <c r="C20" s="89" t="str">
        <f ca="1">IF(H20=1,J20,I20)</f>
        <v>Vollständig</v>
      </c>
      <c r="D20" s="97" t="str">
        <f>IF(H20=1,"Click here to answer question 2 for Tin","")</f>
        <v/>
      </c>
      <c r="E20" s="20" t="s">
        <v>807</v>
      </c>
      <c r="F20" s="94">
        <f>IF(B$15="No",0,1)</f>
        <v>0</v>
      </c>
      <c r="G20" s="70">
        <f>IF(B20=0,1,0)</f>
        <v>1</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 xml:space="preserve">Gold  </v>
      </c>
      <c r="B21" s="89">
        <f>IF($B$16="Yes",Declaration!D34,0)</f>
        <v>0</v>
      </c>
      <c r="C21" s="89" t="str">
        <f ca="1">IF(H21=1,J21,I21)</f>
        <v>Vollständig</v>
      </c>
      <c r="D21" s="97" t="str">
        <f>IF(H21=1,"Click here to answer question 2 for Gold","")</f>
        <v/>
      </c>
      <c r="E21" s="20" t="s">
        <v>807</v>
      </c>
      <c r="F21" s="94">
        <f>IF(B$16="No",0,1)</f>
        <v>0</v>
      </c>
      <c r="G21" s="70">
        <f>IF(B21=0,1,0)</f>
        <v>1</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807</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v>
      </c>
      <c r="B23" s="92"/>
      <c r="C23" s="92"/>
      <c r="D23" s="96"/>
      <c r="E23" s="20" t="s">
        <v>807</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 xml:space="preserve">Zinn  </v>
      </c>
      <c r="B25" s="89">
        <f>IF(AND($B$15="Yes",$B$20="Yes"),Declaration!D39,0)</f>
        <v>0</v>
      </c>
      <c r="C25" s="89" t="str">
        <f ca="1">IF(H25=1,J25,I25)</f>
        <v>Vollständig</v>
      </c>
      <c r="D25" s="97" t="str">
        <f>IF(H25=1,"Click here to answer question 3 for Tin","")</f>
        <v/>
      </c>
      <c r="E25" s="20" t="s">
        <v>807</v>
      </c>
      <c r="F25" s="94">
        <f>IF(OR(B15="No",B20="No"),0,1)</f>
        <v>0</v>
      </c>
      <c r="G25" s="70">
        <f>IF(B25=0,1,0)</f>
        <v>1</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 xml:space="preserve">Gold  </v>
      </c>
      <c r="B26" s="89">
        <f>IF(AND($B$16="Yes",$B$21="Yes"),Declaration!D40,0)</f>
        <v>0</v>
      </c>
      <c r="C26" s="89" t="str">
        <f ca="1">IF(H26=1,J26,I26)</f>
        <v>Vollständig</v>
      </c>
      <c r="D26" s="97" t="str">
        <f>IF(H26=1,"Click here to answer question 3 for Gold","")</f>
        <v/>
      </c>
      <c r="E26" s="20" t="s">
        <v>807</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807</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4"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 xml:space="preserve">Zinn  </v>
      </c>
      <c r="B30" s="89">
        <f>IF(AND($B$15="Yes",$B$20="Yes"),Declaration!D45,0)</f>
        <v>0</v>
      </c>
      <c r="C30" s="89" t="str">
        <f ca="1">IF(H30=1,J30,I30)</f>
        <v>Vollständig</v>
      </c>
      <c r="D30" s="264" t="str">
        <f>IF(H30=1,"Click here to answer question 4 for Tin","")</f>
        <v/>
      </c>
      <c r="E30" s="20"/>
      <c r="F30" s="94">
        <f>F25</f>
        <v>0</v>
      </c>
      <c r="G30" s="70">
        <f>IF(B30=0,1,0)</f>
        <v>1</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 xml:space="preserve">Gold  </v>
      </c>
      <c r="B31" s="89">
        <f>IF(AND($B$16="Yes",$B$21="Yes"),Declaration!D46,0)</f>
        <v>0</v>
      </c>
      <c r="C31" s="89" t="str">
        <f ca="1">IF(H31=1,J31,I31)</f>
        <v>Vollständig</v>
      </c>
      <c r="D31" s="264"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4"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 xml:space="preserve">5) Stammt das für die Funktionalität oder  Herstellung Ihrer Produkte benötigte 3TG-Mineral zu 100 % aus Recycling- oder Schrottquellen? </v>
      </c>
      <c r="B33" s="92"/>
      <c r="C33" s="92"/>
      <c r="D33" s="96"/>
      <c r="E33" s="20" t="s">
        <v>1307</v>
      </c>
      <c r="F33" s="93"/>
      <c r="J33" s="148"/>
    </row>
    <row r="34" spans="1:10" ht="51">
      <c r="A34" s="90" t="str">
        <f ca="1">Declaration!B50</f>
        <v xml:space="preserve">Tantal  </v>
      </c>
      <c r="B34" s="89">
        <f>IF(AND($B$14="Yes",$B$19="Yes"),Declaration!D50,0)</f>
        <v>0</v>
      </c>
      <c r="C34" s="89" t="str">
        <f ca="1">IF(H34=1,J34,I34)</f>
        <v>Vollständig</v>
      </c>
      <c r="D34" s="264" t="str">
        <f>IF(H34=1,"Click here to answer question 5 for Tantalum","")</f>
        <v/>
      </c>
      <c r="E34" s="20" t="s">
        <v>1307</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 xml:space="preserve">Zinn  </v>
      </c>
      <c r="B35" s="89">
        <f>IF(AND($B$15="Yes",$B$20="Yes"),Declaration!D51,0)</f>
        <v>0</v>
      </c>
      <c r="C35" s="89" t="str">
        <f ca="1">IF(H35=1,J35,I35)</f>
        <v>Vollständig</v>
      </c>
      <c r="D35" s="264" t="str">
        <f>IF(H35=1,"Click here to answer question 5 for Tin","")</f>
        <v/>
      </c>
      <c r="E35" s="20" t="s">
        <v>1307</v>
      </c>
      <c r="F35" s="94">
        <f>F25</f>
        <v>0</v>
      </c>
      <c r="G35" s="70">
        <f>IF(B35=0,1,0)</f>
        <v>1</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 xml:space="preserve">Gold  </v>
      </c>
      <c r="B36" s="89">
        <f>IF(AND($B$16="Yes",$B$21="Yes"),Declaration!D52,0)</f>
        <v>0</v>
      </c>
      <c r="C36" s="89" t="str">
        <f ca="1">IF(H36=1,J36,I36)</f>
        <v>Vollständig</v>
      </c>
      <c r="D36" s="264" t="str">
        <f>IF(H36=1,"Click here to answer question 5 for Gold","")</f>
        <v/>
      </c>
      <c r="E36" s="20" t="s">
        <v>1307</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51">
      <c r="A37" s="90" t="str">
        <f ca="1">Declaration!B53</f>
        <v xml:space="preserve">Wolfram  </v>
      </c>
      <c r="B37" s="89">
        <f>IF(AND($B$17="Yes",$B$22="Yes"),Declaration!D53,0)</f>
        <v>0</v>
      </c>
      <c r="C37" s="89" t="str">
        <f ca="1">IF(H37=1,J37,I37)</f>
        <v>Vollständig</v>
      </c>
      <c r="D37" s="264" t="str">
        <f>IF(H37=1,"Click here to answer question 5 for Tungsten","")</f>
        <v/>
      </c>
      <c r="E37" s="20" t="s">
        <v>1307</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v>
      </c>
      <c r="B38" s="92"/>
      <c r="C38" s="92"/>
      <c r="D38" s="96"/>
      <c r="E38" s="20" t="s">
        <v>807</v>
      </c>
      <c r="F38" s="93"/>
    </row>
    <row r="39" spans="1:10" ht="26.25">
      <c r="A39" s="90" t="str">
        <f ca="1">Declaration!B56</f>
        <v xml:space="preserve">Tantal  </v>
      </c>
      <c r="B39" s="272">
        <f>IF(AND($B$14="Yes",$B$19="Yes"),Declaration!D56,0)</f>
        <v>0</v>
      </c>
      <c r="C39" s="89" t="str">
        <f ca="1">IF(H39=1,J39,I39)</f>
        <v>Vollständig</v>
      </c>
      <c r="D39" s="265" t="str">
        <f>IF(H39=1,"Click here to answer question 6 for Tantalum","")</f>
        <v/>
      </c>
      <c r="E39" s="20" t="s">
        <v>806</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 xml:space="preserve">Zinn  </v>
      </c>
      <c r="B40" s="272">
        <f>IF(AND($B$15="Yes",$B$20="Yes"),Declaration!D57,0)</f>
        <v>0</v>
      </c>
      <c r="C40" s="89" t="str">
        <f ca="1">IF(H40=1,J40,I40)</f>
        <v>Vollständig</v>
      </c>
      <c r="D40" s="265" t="str">
        <f>IF(H40=1,"Click here to answer question 6 for Tin","")</f>
        <v/>
      </c>
      <c r="E40" s="20" t="s">
        <v>806</v>
      </c>
      <c r="F40" s="94">
        <f>F25</f>
        <v>0</v>
      </c>
      <c r="G40" s="70">
        <f>IF(B40=0,1,0)</f>
        <v>1</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 xml:space="preserve">Gold  </v>
      </c>
      <c r="B41" s="272">
        <f>IF(AND($B$16="Yes",$B$21="Yes"),Declaration!D58,0)</f>
        <v>0</v>
      </c>
      <c r="C41" s="89" t="str">
        <f ca="1">IF(H41=1,J41,I41)</f>
        <v>Vollständig</v>
      </c>
      <c r="D41" s="265" t="str">
        <f>IF(H41=1,"Click here to answer question 6 for Gold","")</f>
        <v/>
      </c>
      <c r="E41" s="20" t="s">
        <v>806</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72">
        <f>IF(AND($B$17="Yes",$B$22="Yes"),Declaration!D59,0)</f>
        <v>0</v>
      </c>
      <c r="C42" s="89" t="str">
        <f ca="1">IF(H42=1,J42,I42)</f>
        <v>Vollständig</v>
      </c>
      <c r="D42" s="265" t="str">
        <f>IF(H42=1,"Click here to answer question 6 for Tungsten","")</f>
        <v/>
      </c>
      <c r="E42" s="20" t="s">
        <v>806</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 xml:space="preserve">7) Haben Sie alle Schmelzhütten ermittelt, die das 3TG-Mineral für Ihre Lieferkette bereitstellen? </v>
      </c>
      <c r="B43" s="92"/>
      <c r="C43" s="92"/>
      <c r="D43" s="96"/>
      <c r="E43" s="20" t="s">
        <v>808</v>
      </c>
      <c r="F43" s="93"/>
    </row>
    <row r="44" spans="1:10" ht="51.75">
      <c r="A44" s="90" t="str">
        <f ca="1">Declaration!B62</f>
        <v xml:space="preserve">Tantal  </v>
      </c>
      <c r="B44" s="89">
        <f>IF(AND($B$14="Yes",$B$19="Yes"),Declaration!D62,0)</f>
        <v>0</v>
      </c>
      <c r="C44" s="89" t="str">
        <f ca="1">IF(H44=1,J44,I44)</f>
        <v>Vollständig</v>
      </c>
      <c r="D44" s="264" t="str">
        <f>IF(H44=1,"Click here to answer question 7 for Tantalum","")</f>
        <v/>
      </c>
      <c r="E44" s="20" t="s">
        <v>1303</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 xml:space="preserve">Zinn  </v>
      </c>
      <c r="B45" s="89">
        <f>IF(AND($B$15="Yes",$B$20="Yes"),Declaration!D63,0)</f>
        <v>0</v>
      </c>
      <c r="C45" s="89" t="str">
        <f ca="1">IF(H45=1,J45,I45)</f>
        <v>Vollständig</v>
      </c>
      <c r="D45" s="264" t="str">
        <f>IF(H45=1,"Click here to answer question 7 for Tin","")</f>
        <v/>
      </c>
      <c r="E45" s="20" t="s">
        <v>1303</v>
      </c>
      <c r="F45" s="94">
        <f>F25</f>
        <v>0</v>
      </c>
      <c r="G45" s="70">
        <f>IF(B45=0,1,0)</f>
        <v>1</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 xml:space="preserve">Gold  </v>
      </c>
      <c r="B46" s="89">
        <f>IF(AND($B$16="Yes",$B$21="Yes"),Declaration!D64,0)</f>
        <v>0</v>
      </c>
      <c r="C46" s="89" t="str">
        <f ca="1">IF(H46=1,J46,I46)</f>
        <v>Vollständig</v>
      </c>
      <c r="D46" s="264" t="str">
        <f>IF(H46=1,"Click here to answer question 7 for Gold","")</f>
        <v/>
      </c>
      <c r="E46" s="20" t="s">
        <v>1303</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4" t="str">
        <f>IF(H47=1,"Click here to answer question 7 for Tungsten","")</f>
        <v/>
      </c>
      <c r="E47" s="20" t="s">
        <v>1303</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 xml:space="preserve">8) Haben Sie alle relevanten Informationen, die Ihr Unternehmen zu den Schmelzhütten erhalten hat, in dieser Erklärung aufgeführt? </v>
      </c>
      <c r="B48" s="92"/>
      <c r="C48" s="92"/>
      <c r="D48" s="96"/>
      <c r="E48" s="20" t="s">
        <v>809</v>
      </c>
      <c r="F48" s="93"/>
    </row>
    <row r="49" spans="1:10" ht="39">
      <c r="A49" s="90" t="str">
        <f ca="1">Declaration!B68</f>
        <v xml:space="preserve">Tantal  </v>
      </c>
      <c r="B49" s="89">
        <f>IF(AND($B$14="Yes",$B$19="Yes"),Declaration!D68,0)</f>
        <v>0</v>
      </c>
      <c r="C49" s="89" t="str">
        <f ca="1">IF(H49=1,J49,I49)</f>
        <v>Vollständig</v>
      </c>
      <c r="D49" s="265" t="str">
        <f>IF(H49=1,"Click here to answer question 8 for Tantalum","")</f>
        <v/>
      </c>
      <c r="E49" s="20" t="s">
        <v>807</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 xml:space="preserve">Zinn  </v>
      </c>
      <c r="B50" s="89">
        <f>IF(AND($B$15="Yes",$B$20="Yes"),Declaration!D69,0)</f>
        <v>0</v>
      </c>
      <c r="C50" s="89" t="str">
        <f ca="1">IF(H50=1,J50,I50)</f>
        <v>Vollständig</v>
      </c>
      <c r="D50" s="265" t="str">
        <f>IF(H50=1,"Click here to answer question 8 for Tin","")</f>
        <v/>
      </c>
      <c r="E50" s="20" t="s">
        <v>807</v>
      </c>
      <c r="F50" s="94">
        <f>F25</f>
        <v>0</v>
      </c>
      <c r="G50" s="70">
        <f>IF(B50=0,1,0)</f>
        <v>1</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 xml:space="preserve">Gold  </v>
      </c>
      <c r="B51" s="89">
        <f>IF(AND($B$16="Yes",$B$21="Yes"),Declaration!D70,0)</f>
        <v>0</v>
      </c>
      <c r="C51" s="89" t="str">
        <f ca="1">IF(H51=1,J51,I51)</f>
        <v>Vollständig</v>
      </c>
      <c r="D51" s="265" t="str">
        <f>IF(H51=1,"Click here to answer question 8 for Gold","")</f>
        <v/>
      </c>
      <c r="E51" s="20" t="s">
        <v>807</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5" t="str">
        <f>IF(H52=1,"Click here to answer question 8 for Tungsten","")</f>
        <v/>
      </c>
      <c r="E52" s="20" t="s">
        <v>807</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441</v>
      </c>
      <c r="F53" s="93"/>
      <c r="G53" s="93"/>
      <c r="H53" s="93"/>
    </row>
    <row r="54" spans="1:10" ht="39">
      <c r="A54" s="89" t="str">
        <f ca="1">Declaration!B75</f>
        <v>A. Haben Sie eine konfliktfreie Beschaffungsrichtlinie für Mineralien erstellt?</v>
      </c>
      <c r="B54" s="89" t="str">
        <f>Declaration!D75</f>
        <v>No</v>
      </c>
      <c r="C54" s="89" t="str">
        <f t="shared" ref="C54:C60" ca="1" si="10">IF(H54=1,J54,I54)</f>
        <v>Vollständig</v>
      </c>
      <c r="D54" s="95" t="str">
        <f>IF(H54=1,"Click here to answer question (A)","")</f>
        <v/>
      </c>
      <c r="E54" s="20" t="s">
        <v>1307</v>
      </c>
      <c r="F54" s="94">
        <f>IF(SUM(F$24:F$27)=0,0,1)</f>
        <v>0</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v>
      </c>
      <c r="B55" s="89" t="str">
        <f>Declaration!D77</f>
        <v>No</v>
      </c>
      <c r="C55" s="89" t="str">
        <f t="shared" ca="1" si="10"/>
        <v>Vollständig</v>
      </c>
      <c r="D55" s="95" t="str">
        <f>IF(H55=1,"Click here to answer question (B)","")</f>
        <v/>
      </c>
      <c r="E55" s="20" t="s">
        <v>1307</v>
      </c>
      <c r="F55" s="94">
        <f t="shared" ref="F55" si="12">F$54</f>
        <v>0</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65" customHeight="1">
      <c r="A56" s="89" t="s">
        <v>5</v>
      </c>
      <c r="B56" s="89">
        <f>Declaration!G77</f>
        <v>0</v>
      </c>
      <c r="C56" s="89" t="str">
        <f t="shared" ca="1" si="10"/>
        <v>Vollständig</v>
      </c>
      <c r="D56" s="95" t="str">
        <f>IF(H56=1,"Click here to specify URL for question (B)","")</f>
        <v/>
      </c>
      <c r="E56" s="20"/>
      <c r="F56" s="94">
        <f>IF(AND(F55=1,B55="Yes"),1,0)</f>
        <v>0</v>
      </c>
      <c r="G56" s="70">
        <f>IF(LEN(B56)&gt;1,0,1)</f>
        <v>1</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63.75">
      <c r="A57" s="89" t="str">
        <f ca="1">Declaration!B79</f>
        <v>C. Verlangen Sie von Ihren direkten Lieferanten, das 3TG-Mineral ausschließlich von Schmelzhütten zu beziehen, deren Sorgfaltspflichts-Praktiken von einer unabhängigen Instanz überprüft wurden?</v>
      </c>
      <c r="B57" s="89" t="str">
        <f>Declaration!D79</f>
        <v>No</v>
      </c>
      <c r="C57" s="89" t="str">
        <f t="shared" ca="1" si="10"/>
        <v>Vollständig</v>
      </c>
      <c r="D57" s="95" t="str">
        <f>IF(H57=1,"Click here to answer question (C)","")</f>
        <v/>
      </c>
      <c r="E57" s="20" t="s">
        <v>1307</v>
      </c>
      <c r="F57" s="94">
        <f>F$54</f>
        <v>0</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v>
      </c>
      <c r="B58" s="89" t="str">
        <f>Declaration!D81</f>
        <v>No</v>
      </c>
      <c r="C58" s="89" t="str">
        <f t="shared" ca="1" si="10"/>
        <v>Vollständig</v>
      </c>
      <c r="D58" s="95" t="str">
        <f>IF(H58=1,"Click here to answer question (D)","")</f>
        <v/>
      </c>
      <c r="E58" s="20" t="s">
        <v>1307</v>
      </c>
      <c r="F58" s="94">
        <f>F$54</f>
        <v>0</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v>
      </c>
      <c r="B59" s="89" t="str">
        <f>Declaration!D83</f>
        <v>No</v>
      </c>
      <c r="C59" s="89" t="str">
        <f t="shared" ca="1" si="10"/>
        <v>Vollständig</v>
      </c>
      <c r="D59" s="95" t="str">
        <f>IF(H59=1,"Click here to answer question (E)","")</f>
        <v/>
      </c>
      <c r="E59" s="20" t="s">
        <v>1307</v>
      </c>
      <c r="F59" s="94">
        <f>F$54</f>
        <v>0</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39">
      <c r="A60" s="89" t="str">
        <f ca="1">Declaration!B85</f>
        <v>F. Überprüfen Sie die Sorgfaltspflichts-Informationen, die Sie von ihren Lieferanten erhalten, anhand der Erwartungen Ihres Unternehmens?</v>
      </c>
      <c r="B60" s="89">
        <f>Declaration!D85</f>
        <v>0</v>
      </c>
      <c r="C60" s="89" t="str">
        <f t="shared" ca="1" si="10"/>
        <v>Vollständig</v>
      </c>
      <c r="D60" s="95" t="str">
        <f>IF(H60=1,"Click here to answer question (F)","")</f>
        <v/>
      </c>
      <c r="E60" s="20" t="s">
        <v>1307</v>
      </c>
      <c r="F60" s="94">
        <f>F$54</f>
        <v>0</v>
      </c>
      <c r="G60" s="70">
        <f>IF(B60=0,1,0)</f>
        <v>1</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v>
      </c>
      <c r="B62" s="89">
        <f>Declaration!D87</f>
        <v>0</v>
      </c>
      <c r="C62" s="89" t="str">
        <f t="shared" ref="C62:C68" ca="1" si="13">IF(H62=1,J62,I62)</f>
        <v>Vollständig</v>
      </c>
      <c r="D62" s="95" t="str">
        <f>IF(H62=1,"Click here to answer question (G)","")</f>
        <v/>
      </c>
      <c r="E62" s="20" t="s">
        <v>1307</v>
      </c>
      <c r="F62" s="94">
        <f>F$54</f>
        <v>0</v>
      </c>
      <c r="G62" s="70">
        <f>IF(B62=0,1,0)</f>
        <v>1</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v>
      </c>
      <c r="B63" s="89" t="str">
        <f>Declaration!D89</f>
        <v>No</v>
      </c>
      <c r="C63" s="89" t="str">
        <f t="shared" ca="1" si="13"/>
        <v>Vollständig</v>
      </c>
      <c r="D63" s="95" t="str">
        <f>IF(H63=1,"Click here to answer question (H)","")</f>
        <v/>
      </c>
      <c r="E63" s="20" t="s">
        <v>1307</v>
      </c>
      <c r="F63" s="94">
        <f>F$54</f>
        <v>0</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1300</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15262</v>
      </c>
      <c r="B65" s="89"/>
      <c r="C65" s="89" t="str">
        <f t="shared" ca="1" si="13"/>
        <v>Vollständig</v>
      </c>
      <c r="D65" s="95" t="str">
        <f>IF(H65=0,"","Click here to provide smelter information")</f>
        <v/>
      </c>
      <c r="E65" s="20" t="s">
        <v>1307</v>
      </c>
      <c r="F65" s="94">
        <f>F24</f>
        <v>0</v>
      </c>
      <c r="G65" s="70">
        <f>IF(AND(COUNTIF(SmelterIdetifiedForMetal,"Tantalum")&gt;0,COUNTIF('Smelter List'!AB$5:AB$2504,"Tantalum?*")&gt;0),0,1)</f>
        <v>1</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1865</v>
      </c>
      <c r="B66" s="89"/>
      <c r="C66" s="89" t="str">
        <f t="shared" ca="1" si="13"/>
        <v>Vollständig</v>
      </c>
      <c r="D66" s="95" t="str">
        <f>IF(H66=0,"","Click here to provide smelter information")</f>
        <v/>
      </c>
      <c r="E66" s="20" t="s">
        <v>807</v>
      </c>
      <c r="F66" s="94">
        <f>F25</f>
        <v>0</v>
      </c>
      <c r="G66" s="70">
        <f>IF(AND(COUNTIF(SmelterIdetifiedForMetal,"Tin")&gt;0,COUNTIF('Smelter List'!AB$5:AB$2504,"Tin?*")&gt;0),0,1)</f>
        <v>1</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1866</v>
      </c>
      <c r="B67" s="89"/>
      <c r="C67" s="89" t="str">
        <f t="shared" ca="1" si="13"/>
        <v>Vollständig</v>
      </c>
      <c r="D67" s="95" t="str">
        <f>IF(H67=0,"","Click here to provide smelter information")</f>
        <v/>
      </c>
      <c r="E67" s="20" t="s">
        <v>807</v>
      </c>
      <c r="F67" s="94">
        <f>F26</f>
        <v>0</v>
      </c>
      <c r="G67" s="70">
        <f>IF(AND(COUNTIF(SmelterIdetifiedForMetal,"Gold")&gt;0,COUNTIF('Smelter List'!AB$5:AB$2504,"Gold?*")&gt;0),0,1)</f>
        <v>1</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1867</v>
      </c>
      <c r="B68" s="89"/>
      <c r="C68" s="89" t="str">
        <f t="shared" ca="1" si="13"/>
        <v>Vollständig</v>
      </c>
      <c r="D68" s="95" t="str">
        <f>IF(H68=0,"","Click here to provide smelter information")</f>
        <v/>
      </c>
      <c r="E68" s="20" t="s">
        <v>807</v>
      </c>
      <c r="F68" s="94">
        <f>F27</f>
        <v>0</v>
      </c>
      <c r="G68" s="70">
        <f>IF(AND(COUNTIF(SmelterIdetifiedForMetal,"Tungsten")&gt;0,COUNTIF('Smelter List'!AB$5:AB$2504,"Tungsten?*")&gt;0),0,1)</f>
        <v>1</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Abschluss nur erforderlich, wenn die Ebene "Produkt (oder eine Liste von Produkten)" auf der "Erklärung" Arbeitsblatt ausgewählt wurde-</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30">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16.7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05">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56.75">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28.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56.2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0">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8.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Yvonne Glöß</cp:lastModifiedBy>
  <cp:lastPrinted>2023-01-26T09:11:06Z</cp:lastPrinted>
  <dcterms:created xsi:type="dcterms:W3CDTF">2010-06-21T21:00:23Z</dcterms:created>
  <dcterms:modified xsi:type="dcterms:W3CDTF">2023-01-26T09:54:50Z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