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autoCompressPictures="0"/>
  <mc:AlternateContent xmlns:mc="http://schemas.openxmlformats.org/markup-compatibility/2006">
    <mc:Choice Requires="x15">
      <x15ac:absPath xmlns:x15ac="http://schemas.microsoft.com/office/spreadsheetml/2010/11/ac" url="W:\0_WICHTIGES\3_Zertifikate_Zeugnisse_Erklärungen\EMRT\EMRT_1.02_2023\"/>
    </mc:Choice>
  </mc:AlternateContent>
  <xr:revisionPtr revIDLastSave="0" documentId="8_{9D5EC030-DC19-4507-ADAB-9117139D2B70}" xr6:coauthVersionLast="47" xr6:coauthVersionMax="47" xr10:uidLastSave="{00000000-0000-0000-0000-000000000000}"/>
  <workbookProtection workbookAlgorithmName="SHA-512" workbookHashValue="rvg8cOjtmdU8r+G5zmq9xgQGFCsoSSuLtqIdvhzlGhKoB0M1Gg+vbEzN2TsGCA0D1XccGCfWAvemNs9p218BXQ==" workbookSaltValue="MtRO4tgDoIq2XvVAi9G+Ew==" workbookSpinCount="100000" lockStructure="1"/>
  <bookViews>
    <workbookView xWindow="-289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A262" i="9" l="1"/>
  <c r="B16" i="1"/>
  <c r="B5" i="5"/>
  <c r="C5" i="5"/>
  <c r="P39" i="4"/>
  <c r="P38" i="4"/>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2500" i="5"/>
  <c r="C2500" i="5"/>
  <c r="AB2500" i="5"/>
  <c r="V2500" i="5"/>
  <c r="E2500" i="5"/>
  <c r="X2500" i="5" s="1"/>
  <c r="T2500" i="5"/>
  <c r="S2500" i="5"/>
  <c r="R2500" i="5"/>
  <c r="J2500" i="5"/>
  <c r="I2500" i="5"/>
  <c r="H2500" i="5"/>
  <c r="G2500" i="5"/>
  <c r="F2500" i="5"/>
  <c r="B54" i="6"/>
  <c r="B53" i="6"/>
  <c r="P27" i="4"/>
  <c r="P26" i="4"/>
  <c r="G54" i="6"/>
  <c r="G53" i="6"/>
  <c r="B58" i="6"/>
  <c r="G58" i="6"/>
  <c r="B56" i="6"/>
  <c r="G56" i="6" s="1"/>
  <c r="P37" i="4"/>
  <c r="J122" i="8"/>
  <c r="K122" i="8"/>
  <c r="J121" i="8"/>
  <c r="K121" i="8"/>
  <c r="K63" i="6"/>
  <c r="K64" i="6"/>
  <c r="B51" i="6"/>
  <c r="G51" i="6"/>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F60" i="6"/>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c r="B50" i="6"/>
  <c r="G50" i="6"/>
  <c r="B49" i="6"/>
  <c r="G49" i="6"/>
  <c r="B48" i="6"/>
  <c r="G48" i="6"/>
  <c r="B46" i="6"/>
  <c r="G46" i="6"/>
  <c r="B45" i="6"/>
  <c r="G45" i="6"/>
  <c r="B44" i="6"/>
  <c r="G44" i="6"/>
  <c r="B43" i="6"/>
  <c r="G43" i="6"/>
  <c r="B41" i="6"/>
  <c r="G41" i="6"/>
  <c r="B40" i="6"/>
  <c r="G40" i="6"/>
  <c r="H40" i="6" s="1"/>
  <c r="D40" i="6" s="1"/>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s="1"/>
  <c r="H13" i="6" s="1"/>
  <c r="D13" i="6" s="1"/>
  <c r="B12" i="6"/>
  <c r="G12" i="6" s="1"/>
  <c r="H12" i="6" s="1"/>
  <c r="D12" i="6" s="1"/>
  <c r="B11" i="6"/>
  <c r="G11" i="6" s="1"/>
  <c r="H11" i="6" s="1"/>
  <c r="D11" i="6" s="1"/>
  <c r="B10" i="6"/>
  <c r="G10" i="6" s="1"/>
  <c r="H10" i="6" s="1"/>
  <c r="D10" i="6" s="1"/>
  <c r="B9" i="6"/>
  <c r="G9" i="6" s="1"/>
  <c r="H9" i="6" s="1"/>
  <c r="D9" i="6" s="1"/>
  <c r="B8" i="6"/>
  <c r="G8" i="6"/>
  <c r="H8" i="6" s="1"/>
  <c r="D8" i="6" s="1"/>
  <c r="B7" i="6"/>
  <c r="G7" i="6" s="1"/>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Q37" i="4"/>
  <c r="B43" i="4" s="1"/>
  <c r="A27"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c r="AB12" i="5"/>
  <c r="V14" i="5"/>
  <c r="H14" i="5"/>
  <c r="A5" i="2"/>
  <c r="C2" i="6"/>
  <c r="H60" i="6"/>
  <c r="D60" i="6"/>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J5"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8" i="5"/>
  <c r="AB16" i="5"/>
  <c r="V10" i="5"/>
  <c r="E10" i="5"/>
  <c r="X10" i="5" s="1"/>
  <c r="AB9" i="5"/>
  <c r="V9" i="5"/>
  <c r="E9" i="5"/>
  <c r="X9" i="5" s="1"/>
  <c r="AB13" i="5"/>
  <c r="G14" i="5"/>
  <c r="V15" i="5"/>
  <c r="F15" i="5"/>
  <c r="AB14" i="5"/>
  <c r="AB11" i="5"/>
  <c r="V16" i="5"/>
  <c r="H8" i="5"/>
  <c r="R8" i="5"/>
  <c r="F8"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J7" i="5"/>
  <c r="H7" i="5"/>
  <c r="F7" i="5"/>
  <c r="I7" i="5"/>
  <c r="G7" i="5"/>
  <c r="G1316" i="5"/>
  <c r="G844" i="5"/>
  <c r="E1636" i="5"/>
  <c r="X1636" i="5" s="1"/>
  <c r="I1316" i="5"/>
  <c r="H5"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5"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s="1"/>
  <c r="F9" i="5"/>
  <c r="H9" i="5"/>
  <c r="J12" i="5"/>
  <c r="J15" i="5"/>
  <c r="E16" i="5"/>
  <c r="X16" i="5" s="1"/>
  <c r="J16" i="5"/>
  <c r="R10" i="5"/>
  <c r="I10" i="5"/>
  <c r="S69" i="5"/>
  <c r="S61" i="5"/>
  <c r="S45" i="5"/>
  <c r="S17" i="5"/>
  <c r="T15" i="5"/>
  <c r="S37" i="5"/>
  <c r="S21" i="5"/>
  <c r="T12" i="5"/>
  <c r="T13" i="5"/>
  <c r="E6" i="5"/>
  <c r="X6" i="5" s="1"/>
  <c r="S6" i="5"/>
  <c r="T10" i="5"/>
  <c r="T9" i="5"/>
  <c r="T16" i="5"/>
  <c r="E5" i="5"/>
  <c r="X5" i="5" s="1"/>
  <c r="S5" i="5"/>
  <c r="H63" i="6"/>
  <c r="S13" i="5"/>
  <c r="S10" i="5"/>
  <c r="S15" i="5"/>
  <c r="S9" i="5"/>
  <c r="S16" i="5"/>
  <c r="S12" i="5"/>
  <c r="H64" i="6"/>
  <c r="F24" i="6"/>
  <c r="F21" i="6"/>
  <c r="F23" i="6"/>
  <c r="F43" i="6" s="1"/>
  <c r="H43" i="6" s="1"/>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F6"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H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C60" i="6" s="1"/>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I25" i="6"/>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5" i="5"/>
  <c r="G2004" i="5"/>
  <c r="G149" i="5"/>
  <c r="G1381" i="5"/>
  <c r="J1412" i="5"/>
  <c r="J1777" i="5"/>
  <c r="E8" i="5"/>
  <c r="X8" i="5" s="1"/>
  <c r="G981" i="5"/>
  <c r="J1269" i="5"/>
  <c r="I2306" i="5"/>
  <c r="H1756" i="5"/>
  <c r="E2228" i="5"/>
  <c r="X2228" i="5" s="1"/>
  <c r="J925" i="5"/>
  <c r="J677" i="5"/>
  <c r="J149" i="5"/>
  <c r="E605" i="5"/>
  <c r="X605" i="5" s="1"/>
  <c r="E637" i="5"/>
  <c r="X637" i="5" s="1"/>
  <c r="G6" i="5"/>
  <c r="F5" i="5"/>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I5"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D21" i="6" s="1"/>
  <c r="H23" i="6"/>
  <c r="D23" i="6" s="1"/>
  <c r="G5" i="6"/>
  <c r="H5" i="6"/>
  <c r="D5" i="6"/>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H20" i="6" s="1"/>
  <c r="E2363" i="5"/>
  <c r="X2363" i="5" s="1"/>
  <c r="I2363" i="5"/>
  <c r="H2363" i="5"/>
  <c r="J2363" i="5"/>
  <c r="C25" i="6"/>
  <c r="R1619" i="5"/>
  <c r="H1619" i="5"/>
  <c r="I1619" i="5"/>
  <c r="E1619" i="5"/>
  <c r="X1619" i="5" s="1"/>
  <c r="J1619" i="5"/>
  <c r="F1619" i="5"/>
  <c r="G61" i="6"/>
  <c r="F48" i="6"/>
  <c r="F53" i="6" s="1"/>
  <c r="H53" i="6" s="1"/>
  <c r="I1958"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G62" i="6"/>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s="1"/>
  <c r="D44" i="6" s="1"/>
  <c r="F39" i="6"/>
  <c r="H39" i="6" s="1"/>
  <c r="D39" i="6" s="1"/>
  <c r="F62" i="6"/>
  <c r="H62" i="6" s="1"/>
  <c r="D62" i="6" s="1"/>
  <c r="F34" i="6"/>
  <c r="H34" i="6" s="1"/>
  <c r="D34" i="6" s="1"/>
  <c r="F33" i="6"/>
  <c r="H33" i="6" s="1"/>
  <c r="D33" i="6" s="1"/>
  <c r="F61" i="6"/>
  <c r="H61" i="6" s="1"/>
  <c r="F28" i="6"/>
  <c r="H28" i="6" s="1"/>
  <c r="D28" i="6" s="1"/>
  <c r="F38" i="6"/>
  <c r="H38" i="6" s="1"/>
  <c r="C13" i="6" l="1"/>
  <c r="C12" i="6"/>
  <c r="C11" i="6"/>
  <c r="C10" i="6"/>
  <c r="C9" i="6"/>
  <c r="C8" i="6"/>
  <c r="C7" i="6"/>
  <c r="C5" i="6"/>
  <c r="C6" i="6"/>
  <c r="C4" i="6"/>
  <c r="B57" i="4"/>
  <c r="A39" i="6" s="1"/>
  <c r="A24" i="6"/>
  <c r="B75" i="4"/>
  <c r="A54" i="6" s="1"/>
  <c r="B63" i="4"/>
  <c r="A44" i="6" s="1"/>
  <c r="C40" i="6"/>
  <c r="B64" i="4"/>
  <c r="A45" i="6" s="1"/>
  <c r="B2" i="6"/>
  <c r="C24" i="6"/>
  <c r="F50" i="6"/>
  <c r="H50" i="6" s="1"/>
  <c r="D50" i="6" s="1"/>
  <c r="D16" i="6"/>
  <c r="K62" i="6"/>
  <c r="C62" i="6"/>
  <c r="C16" i="6"/>
  <c r="C39" i="6"/>
  <c r="C21" i="6"/>
  <c r="B46" i="4"/>
  <c r="A30" i="6" s="1"/>
  <c r="C20" i="6"/>
  <c r="B65" i="4"/>
  <c r="A46" i="6" s="1"/>
  <c r="C34" i="6"/>
  <c r="C4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C23" i="6"/>
  <c r="D53" i="6"/>
  <c r="C53" i="6"/>
  <c r="D43" i="6"/>
  <c r="C43" i="6"/>
  <c r="F54" i="6"/>
  <c r="H54" i="6" s="1"/>
  <c r="F64" i="6"/>
  <c r="F55" i="6"/>
  <c r="H55" i="6" s="1"/>
  <c r="D55" i="6" s="1"/>
  <c r="F58" i="6"/>
  <c r="H58" i="6" s="1"/>
  <c r="F56" i="6"/>
  <c r="H56" i="6" s="1"/>
  <c r="D43" i="4"/>
  <c r="D55" i="4"/>
  <c r="D61" i="4"/>
  <c r="C61" i="6"/>
  <c r="D61" i="6"/>
  <c r="K61" i="6"/>
  <c r="C33" i="6"/>
  <c r="C28" i="6"/>
  <c r="G68" i="4"/>
  <c r="G37" i="4"/>
  <c r="G55" i="4"/>
  <c r="G49" i="4"/>
  <c r="G65" i="6"/>
  <c r="H65" i="6" s="1"/>
  <c r="D31" i="4"/>
  <c r="B59" i="4"/>
  <c r="A41" i="6" s="1"/>
  <c r="B47" i="4"/>
  <c r="A31" i="6" s="1"/>
  <c r="D68" i="4"/>
  <c r="B62" i="4"/>
  <c r="A43" i="6" s="1"/>
  <c r="B50" i="4"/>
  <c r="A33" i="6" s="1"/>
  <c r="B44" i="4"/>
  <c r="A28" i="6" s="1"/>
  <c r="B74" i="4"/>
  <c r="A53" i="6" s="1"/>
  <c r="D49" i="4"/>
  <c r="G61" i="4"/>
  <c r="D49" i="6" l="1"/>
  <c r="F51" i="6"/>
  <c r="H51" i="6" s="1"/>
  <c r="D51" i="6" s="1"/>
  <c r="C50" i="6"/>
  <c r="C55" i="6"/>
  <c r="D59" i="6"/>
  <c r="C59" i="6"/>
  <c r="C48" i="6"/>
  <c r="D48" i="6"/>
  <c r="D56" i="6"/>
  <c r="C56" i="6"/>
  <c r="C58" i="6"/>
  <c r="D58" i="6"/>
  <c r="D54" i="6"/>
  <c r="C54" i="6"/>
  <c r="C51" i="6" l="1"/>
  <c r="H66"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<sst xmlns="http://schemas.openxmlformats.org/spreadsheetml/2006/main" count="16816" uniqueCount="14441">
  <si>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</si>
  <si>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</si>
  <si>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</si>
  <si>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</si>
  <si>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</si>
  <si>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</si>
  <si>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</si>
  <si>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</si>
  <si>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</si>
  <si>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</si>
  <si>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</si>
  <si>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</si>
  <si>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</si>
  <si>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</si>
  <si>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</si>
  <si>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</si>
  <si>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</si>
  <si>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</si>
  <si>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</si>
  <si>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</si>
  <si>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</si>
  <si>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</si>
  <si>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</si>
  <si>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</si>
  <si>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</si>
  <si>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</si>
  <si>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</si>
  <si>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</si>
  <si>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</si>
  <si>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</si>
  <si>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</si>
  <si>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</si>
  <si>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</si>
  <si>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</si>
  <si>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</si>
  <si>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</si>
  <si>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</si>
  <si>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</si>
  <si>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</si>
  <si>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</si>
  <si>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</si>
  <si>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</si>
  <si>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</si>
  <si>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</si>
  <si>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</si>
  <si>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</si>
  <si>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</si>
  <si>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</si>
  <si>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</si>
  <si>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</si>
  <si>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</si>
  <si>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</si>
  <si>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</si>
  <si>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</si>
  <si>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</si>
  <si>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</si>
  <si>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</si>
  <si>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</si>
  <si>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</si>
  <si>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</si>
  <si>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</si>
  <si>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</si>
  <si>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</si>
  <si>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</si>
  <si>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</si>
  <si>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</si>
  <si>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</si>
  <si>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</si>
  <si>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</si>
  <si>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</si>
  <si>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</si>
  <si>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</si>
  <si>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</si>
  <si>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</si>
  <si>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</si>
  <si>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</si>
  <si>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</si>
  <si>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</si>
  <si>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</si>
  <si>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</si>
  <si>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</si>
  <si>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</si>
  <si>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</si>
  <si>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</si>
  <si>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</si>
  <si>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</si>
  <si>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</si>
  <si>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</si>
  <si>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</si>
  <si>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</si>
  <si>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</si>
  <si>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</si>
  <si>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</si>
  <si>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</si>
  <si>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</si>
  <si>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</si>
  <si>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</si>
  <si>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</si>
  <si>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</si>
  <si>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</si>
  <si>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</si>
  <si>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</si>
  <si>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</si>
  <si>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</si>
  <si>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</si>
  <si>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</si>
  <si>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</si>
  <si>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</si>
  <si>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</si>
  <si>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</si>
  <si>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</si>
  <si>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</si>
  <si>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</si>
  <si>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</si>
  <si>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</si>
  <si>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</si>
  <si>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</si>
  <si>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</si>
  <si>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</si>
  <si>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</si>
  <si>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</si>
  <si>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</si>
  <si>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</si>
  <si>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</si>
  <si>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</si>
  <si>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</si>
  <si>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</si>
  <si>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</si>
  <si>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</si>
  <si>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</si>
  <si>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</si>
  <si>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</si>
  <si>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</si>
  <si>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</si>
  <si>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</si>
  <si>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</si>
  <si>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</si>
  <si>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</si>
  <si>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</si>
  <si>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</si>
  <si>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</si>
  <si>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</si>
  <si>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</si>
  <si>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</si>
  <si>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</si>
  <si>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</si>
  <si>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</si>
  <si>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</si>
  <si>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</si>
  <si>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</si>
  <si>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</si>
  <si>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</si>
  <si>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</si>
  <si>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</si>
  <si>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</si>
  <si>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</si>
  <si>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</si>
  <si>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</si>
  <si>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</si>
  <si>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</si>
  <si>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</si>
  <si>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</si>
  <si>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</si>
  <si>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</si>
  <si>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</si>
  <si>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</si>
  <si>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</si>
  <si>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</si>
  <si>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</si>
  <si>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</si>
  <si>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</si>
  <si>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</si>
  <si>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</si>
  <si>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</si>
  <si>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</si>
  <si>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</si>
  <si>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</si>
  <si>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</si>
  <si>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</si>
  <si>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</si>
  <si>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</si>
  <si>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</si>
  <si>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</si>
  <si>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</si>
  <si>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</si>
  <si>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</si>
  <si>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</si>
  <si>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</si>
  <si>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</si>
  <si>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</si>
  <si>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</si>
  <si>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</si>
  <si>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</si>
  <si>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</si>
  <si>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</si>
  <si>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</si>
  <si>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</si>
  <si>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</si>
  <si>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</si>
  <si>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</si>
  <si>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</si>
  <si>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</si>
  <si>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</si>
  <si>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</si>
  <si>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</si>
  <si>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</si>
  <si>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</si>
  <si>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</si>
  <si>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</si>
  <si>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</si>
  <si>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</si>
  <si>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</si>
  <si>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</si>
  <si>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</si>
  <si>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</si>
  <si>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</si>
  <si>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</si>
  <si>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</si>
  <si>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</si>
  <si>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</si>
  <si>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</si>
  <si>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</si>
  <si>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</si>
  <si>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</si>
  <si>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</si>
  <si>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</si>
  <si>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</si>
  <si>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</si>
  <si>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</si>
  <si>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</si>
  <si>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</si>
  <si>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</si>
  <si>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</si>
  <si>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</si>
  <si>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</si>
  <si>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</si>
  <si>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</si>
  <si>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</si>
  <si>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</si>
  <si>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</si>
  <si>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</si>
  <si>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</si>
  <si>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</si>
  <si>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</si>
  <si>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</si>
  <si>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</si>
  <si>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</si>
  <si>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</si>
  <si>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</si>
  <si>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</si>
  <si>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</si>
  <si>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</si>
  <si>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</si>
  <si>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</si>
  <si>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</si>
  <si>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</si>
  <si>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</si>
  <si>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</si>
  <si>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</si>
  <si>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</si>
  <si>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</si>
  <si>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</si>
  <si>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</si>
  <si>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</si>
  <si>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</si>
  <si>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</si>
  <si>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</si>
  <si>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</si>
  <si>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</si>
  <si>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</si>
  <si>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</si>
  <si>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</si>
  <si>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</si>
  <si>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</si>
  <si>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</si>
  <si>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</si>
  <si>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</si>
  <si>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</si>
  <si>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</si>
  <si>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</si>
  <si>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</si>
  <si>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</si>
  <si>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</si>
  <si>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</si>
  <si>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</si>
  <si>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</si>
  <si>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</si>
  <si>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</si>
  <si>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</si>
  <si>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</si>
  <si>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</si>
  <si>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</si>
  <si>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</si>
  <si>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</si>
  <si>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</si>
  <si>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</si>
  <si>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</si>
  <si>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</si>
  <si>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</si>
  <si>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</si>
  <si>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</si>
  <si>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</si>
  <si>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</si>
  <si>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</si>
  <si>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</si>
  <si>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</si>
  <si>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</si>
  <si>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</si>
  <si>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</si>
  <si>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</si>
  <si>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</si>
  <si>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</si>
  <si>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</si>
  <si>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</si>
  <si>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</si>
  <si>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</si>
  <si>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</si>
  <si>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</si>
  <si>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</si>
  <si>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</si>
  <si>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</si>
  <si>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</si>
  <si>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</si>
  <si>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</si>
  <si>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</si>
  <si>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</si>
  <si>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</si>
  <si>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</si>
  <si>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</si>
  <si>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</si>
  <si>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</si>
  <si>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</si>
  <si>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</si>
  <si>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</si>
  <si>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</si>
  <si>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</si>
  <si>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</si>
  <si>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</si>
  <si>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</si>
  <si>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</si>
  <si>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</si>
  <si>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</si>
  <si>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</si>
  <si>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</si>
  <si>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</si>
  <si>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</si>
  <si>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</si>
  <si>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</si>
  <si>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</si>
  <si>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</si>
  <si>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</si>
  <si>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</si>
  <si>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</si>
  <si>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</si>
  <si>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</si>
  <si>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</si>
  <si>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</si>
  <si>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</si>
  <si>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</si>
  <si>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</si>
  <si>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</si>
  <si>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</si>
  <si>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</si>
  <si>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</si>
  <si>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</si>
  <si>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</si>
  <si>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</si>
  <si>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</si>
  <si>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</si>
  <si>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</si>
  <si>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</si>
  <si>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</si>
  <si>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</si>
  <si>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</si>
  <si>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</si>
  <si>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</si>
  <si>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</si>
  <si>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</si>
  <si>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</si>
  <si>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</si>
  <si>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</si>
  <si>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</si>
  <si>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</si>
  <si>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</si>
  <si>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</si>
  <si>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</si>
  <si>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</si>
  <si>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</si>
  <si>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</si>
  <si>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</si>
  <si>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</si>
  <si>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</si>
  <si>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</si>
  <si>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</si>
  <si>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</si>
  <si>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</si>
  <si>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</si>
  <si>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</si>
  <si>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</si>
  <si>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</si>
  <si>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</si>
  <si>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</si>
  <si>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</si>
  <si>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</si>
  <si>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</si>
  <si>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</si>
  <si>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</si>
  <si>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</si>
  <si>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</si>
  <si>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</si>
  <si>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</si>
  <si>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</si>
  <si>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</si>
  <si>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</si>
  <si>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</si>
  <si>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</si>
  <si>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</si>
  <si>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</si>
  <si>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</si>
  <si>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</si>
  <si>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</si>
  <si>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</si>
  <si>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</si>
  <si>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</si>
  <si>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</si>
  <si>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</si>
  <si>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</si>
  <si>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</si>
  <si>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</si>
  <si>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</si>
  <si>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</si>
  <si>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</si>
  <si>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</si>
  <si>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</si>
  <si>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</si>
  <si>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</si>
  <si>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</si>
  <si>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</si>
  <si>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</si>
  <si>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</si>
  <si>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</si>
  <si>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</si>
  <si>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</si>
  <si>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</si>
  <si>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</si>
  <si>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</si>
  <si>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</si>
  <si>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</si>
  <si>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</si>
  <si>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</si>
  <si>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</si>
  <si>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</si>
  <si>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</si>
  <si>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</si>
  <si>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</si>
  <si>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</si>
  <si>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</si>
  <si>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</si>
  <si>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</si>
  <si>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</si>
  <si>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</si>
  <si>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</si>
  <si>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</si>
  <si>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</si>
  <si>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</si>
  <si>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</si>
  <si>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</si>
  <si>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</si>
  <si>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</si>
  <si>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</si>
  <si>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</si>
  <si>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</si>
  <si>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</si>
  <si>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</si>
  <si>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</si>
  <si>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</si>
  <si>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</si>
  <si>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</si>
  <si>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</si>
  <si>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</si>
  <si>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</si>
  <si>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</si>
  <si>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</si>
  <si>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</si>
  <si>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</si>
  <si>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</si>
  <si>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</si>
  <si>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</si>
  <si>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</si>
  <si>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</si>
  <si>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</si>
  <si>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</si>
  <si>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</si>
  <si>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</si>
  <si>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</si>
  <si>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</si>
  <si>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</si>
  <si>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</si>
  <si>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</si>
  <si>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</si>
  <si>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</si>
  <si>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</si>
  <si>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</si>
  <si>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</si>
  <si>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</si>
  <si>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</si>
  <si>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</si>
  <si>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</si>
  <si>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</si>
  <si>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</si>
  <si>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</si>
  <si>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</si>
  <si>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</si>
  <si>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</si>
  <si>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</si>
  <si>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</si>
  <si>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</si>
  <si>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</si>
  <si>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</si>
  <si>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</si>
  <si>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</si>
  <si>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</si>
  <si>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</si>
  <si>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</si>
  <si>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</si>
  <si>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</si>
  <si>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</si>
  <si>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</si>
  <si>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</si>
  <si>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</si>
  <si>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</si>
  <si>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</si>
  <si>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</si>
  <si>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</si>
  <si>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</si>
  <si>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</si>
  <si>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</si>
  <si>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</si>
  <si>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</si>
  <si>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</si>
  <si>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</si>
  <si>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</si>
  <si>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</si>
  <si>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</si>
  <si>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</si>
  <si>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</si>
  <si>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</si>
  <si>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</si>
  <si>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</si>
  <si>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</si>
  <si>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</si>
  <si>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</si>
  <si>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</si>
  <si>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</si>
  <si>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</si>
  <si>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</si>
  <si>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</si>
  <si>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</si>
  <si>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</si>
  <si>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</si>
  <si>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</si>
  <si>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</si>
  <si>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</si>
  <si>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</si>
  <si>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</si>
  <si>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</si>
  <si>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</si>
  <si>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</si>
  <si>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</si>
  <si>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</si>
  <si>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</si>
  <si>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</si>
  <si>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</si>
  <si>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</si>
  <si>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</si>
  <si>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</si>
  <si>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</si>
  <si>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</si>
  <si>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</si>
  <si>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</si>
  <si>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</si>
  <si>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</si>
  <si>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</si>
  <si>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</si>
  <si>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</si>
  <si>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</si>
  <si>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</si>
  <si>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</si>
  <si>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</si>
  <si>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</si>
  <si>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</si>
  <si>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</si>
  <si>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</si>
  <si>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</si>
  <si>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</si>
  <si>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</si>
  <si>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</si>
  <si>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</si>
  <si>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</si>
  <si>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</si>
  <si>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</si>
  <si>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</si>
  <si>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</si>
  <si>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</si>
  <si>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</si>
  <si>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</si>
  <si>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</si>
  <si>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</si>
  <si>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</si>
  <si>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</si>
  <si>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</si>
  <si>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</si>
  <si>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</si>
  <si>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</si>
  <si>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</si>
  <si>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</si>
  <si>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</si>
  <si>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</si>
  <si>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</si>
  <si>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</si>
  <si>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</si>
  <si>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</si>
  <si>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</si>
  <si>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</si>
  <si>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</si>
  <si>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</si>
  <si>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</si>
  <si>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</si>
  <si>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</si>
  <si>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</si>
  <si>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</si>
  <si>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</si>
  <si>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</si>
  <si>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</si>
  <si>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</si>
  <si>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</si>
  <si>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</si>
  <si>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</si>
  <si>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</si>
  <si>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</si>
  <si>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</si>
  <si>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</si>
  <si>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</si>
  <si>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</si>
  <si>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</si>
  <si>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</si>
  <si>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</si>
  <si>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</si>
  <si>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</si>
  <si>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</si>
  <si>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</si>
  <si>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</si>
  <si>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</si>
  <si>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</si>
  <si>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</si>
  <si>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</si>
  <si>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</si>
  <si>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</si>
  <si>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</si>
  <si>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</si>
  <si>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</si>
  <si>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</si>
  <si>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</si>
  <si>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</si>
  <si>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</si>
  <si>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</si>
  <si>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</si>
  <si>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</si>
  <si>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</si>
  <si>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</si>
  <si>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</si>
  <si>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</si>
  <si>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</si>
  <si>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</si>
  <si>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</si>
  <si>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</si>
  <si>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</si>
  <si>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</si>
  <si>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</si>
  <si>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</si>
  <si>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</si>
  <si>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</si>
  <si>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</si>
  <si>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</si>
  <si>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</si>
  <si>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</si>
  <si>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</si>
  <si>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</si>
  <si>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</si>
  <si>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</si>
  <si>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</si>
  <si>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</si>
  <si>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</si>
  <si>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</si>
  <si>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</si>
  <si>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</si>
  <si>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</si>
  <si>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</si>
  <si>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</si>
  <si>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</si>
  <si>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</si>
  <si>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</si>
  <si>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</si>
  <si>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</si>
  <si>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</si>
  <si>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</si>
  <si>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</si>
  <si>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</si>
  <si>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</si>
  <si>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</si>
  <si>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</si>
  <si>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</si>
  <si>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</si>
  <si>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</si>
  <si>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</si>
  <si>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</si>
  <si>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</si>
  <si>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</si>
  <si>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</si>
  <si>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</si>
  <si>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</si>
  <si>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</si>
  <si>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</si>
  <si>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</si>
  <si>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</si>
  <si>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</si>
  <si>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</si>
  <si>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</si>
  <si>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</si>
  <si>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</si>
  <si>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</si>
  <si>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</si>
  <si>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</si>
  <si>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</si>
  <si>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</si>
  <si>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</si>
  <si>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</si>
  <si>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</si>
  <si>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</si>
  <si>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</si>
  <si>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</si>
  <si>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</si>
  <si>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</si>
  <si>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</si>
  <si>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</si>
  <si>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</si>
  <si>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</si>
  <si>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</si>
  <si>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</si>
  <si>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</si>
  <si>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</si>
  <si>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</si>
  <si>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</si>
  <si>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</si>
  <si>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</si>
  <si>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</si>
  <si>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</si>
  <si>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</si>
  <si>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</si>
  <si>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</si>
  <si>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</si>
  <si>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</si>
  <si>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</si>
  <si>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</si>
  <si>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</si>
  <si>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</si>
  <si>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</si>
  <si>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</si>
  <si>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</si>
  <si>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</si>
  <si>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</si>
  <si>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</si>
  <si>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</si>
  <si>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</si>
  <si>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</si>
  <si>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</si>
  <si>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</si>
  <si>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</si>
  <si>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</si>
  <si>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</si>
  <si>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</si>
  <si>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</si>
  <si>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</si>
  <si>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</si>
  <si>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</si>
  <si>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</si>
  <si>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</si>
  <si>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</si>
  <si>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</si>
  <si>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</si>
  <si>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</si>
  <si>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</si>
  <si>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</si>
  <si>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</si>
  <si>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</si>
  <si>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</si>
  <si>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</si>
  <si>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</si>
  <si>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</si>
  <si>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</si>
  <si>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</si>
  <si>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</si>
  <si>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</si>
  <si>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</si>
  <si>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</si>
  <si>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</si>
  <si>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</si>
  <si>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</si>
  <si>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</si>
  <si>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</si>
  <si>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</si>
  <si>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</si>
  <si>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</si>
  <si>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</si>
  <si>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</si>
  <si>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</si>
  <si>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</si>
  <si>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</si>
  <si>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</si>
  <si>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</si>
  <si>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</si>
  <si>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</si>
  <si>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</si>
  <si>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</si>
  <si>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</si>
  <si>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</si>
  <si>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</si>
  <si>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</si>
  <si>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</si>
  <si>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</si>
  <si>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</si>
  <si>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</si>
  <si>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</si>
  <si>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</si>
  <si>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</si>
  <si>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</si>
  <si>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</si>
  <si>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</si>
  <si>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</si>
  <si>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</si>
  <si>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</si>
  <si>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</si>
  <si>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</si>
  <si>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</si>
  <si>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</si>
  <si>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</si>
  <si>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</si>
  <si>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</si>
  <si>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</si>
  <si>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</si>
  <si>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</si>
  <si>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</si>
  <si>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</si>
  <si>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</si>
  <si>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</si>
  <si>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</si>
  <si>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</si>
  <si>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</si>
  <si>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</si>
  <si>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</si>
  <si>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</si>
  <si>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</si>
  <si>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</si>
  <si>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</si>
  <si>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</si>
  <si>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</si>
  <si>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</si>
  <si>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</si>
  <si>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</si>
  <si>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</si>
  <si>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</si>
  <si>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</si>
  <si>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</si>
  <si>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</si>
  <si>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</si>
  <si>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</si>
  <si>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</si>
  <si>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</si>
  <si>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</si>
  <si>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</si>
  <si>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</si>
  <si>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</si>
  <si>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</si>
  <si>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</si>
  <si>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</si>
  <si>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</si>
  <si>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</si>
  <si>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</si>
  <si>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</si>
  <si>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</si>
  <si>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</si>
  <si>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</si>
  <si>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</si>
  <si>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</si>
  <si>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</si>
  <si>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</si>
  <si>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</si>
  <si>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</si>
  <si>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</si>
  <si>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</si>
  <si>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</si>
  <si>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</si>
  <si>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</si>
  <si>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</si>
  <si>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</si>
  <si>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</si>
  <si>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</si>
  <si>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</si>
  <si>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</si>
  <si>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</si>
  <si>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</si>
  <si>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</si>
  <si>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</si>
  <si>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</si>
  <si>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</si>
  <si>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</si>
  <si>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</si>
  <si>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</si>
  <si>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</si>
  <si>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</si>
  <si>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</si>
  <si>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</si>
  <si>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</si>
  <si>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</si>
  <si>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</si>
  <si>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</si>
  <si>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</si>
  <si>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</si>
  <si>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</si>
  <si>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</si>
  <si>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</si>
  <si>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</si>
  <si>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</si>
  <si>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</si>
  <si>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</si>
  <si>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</si>
  <si>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</si>
  <si>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</si>
  <si>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</si>
  <si>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</si>
  <si>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</si>
  <si>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</si>
  <si>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</si>
  <si>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</si>
  <si>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</si>
  <si>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</si>
  <si>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</si>
  <si>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</si>
  <si>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</si>
  <si>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</si>
  <si>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</si>
  <si>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</si>
  <si>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</si>
  <si>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</si>
  <si>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</si>
  <si>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</si>
  <si>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</si>
  <si>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</si>
  <si>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</si>
  <si>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</si>
  <si>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</si>
  <si>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</si>
  <si>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</si>
  <si>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</si>
  <si>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</si>
  <si>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</si>
  <si>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</si>
  <si>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</si>
  <si>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</si>
  <si>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</si>
  <si>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</si>
  <si>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</si>
  <si>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</si>
  <si>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</si>
  <si>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</si>
  <si>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</si>
  <si>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</si>
  <si>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</si>
  <si>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</si>
  <si>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</si>
  <si>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</si>
  <si>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</si>
  <si>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</si>
  <si>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</si>
  <si>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</si>
  <si>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</si>
  <si>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</si>
  <si>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</si>
  <si>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</si>
  <si>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</si>
  <si>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</si>
  <si>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</si>
  <si>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</si>
  <si>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</si>
  <si>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</si>
  <si>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</si>
  <si>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</si>
  <si>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</si>
  <si>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</si>
  <si>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</si>
  <si>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</si>
  <si>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</si>
  <si>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</si>
  <si>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</si>
  <si>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</si>
  <si>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</si>
  <si>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</si>
  <si>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</si>
  <si>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</si>
  <si>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</si>
  <si>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</si>
  <si>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</si>
  <si>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</si>
  <si>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</si>
  <si>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</si>
  <si>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</si>
  <si>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</si>
  <si>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</si>
  <si>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</si>
  <si>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</si>
  <si>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</si>
  <si>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</si>
  <si>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</si>
  <si>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</si>
  <si>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</si>
  <si>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</si>
  <si>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</si>
  <si>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</si>
  <si>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</si>
  <si>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</si>
  <si>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</si>
  <si>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</si>
  <si>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</si>
  <si>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</si>
  <si>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</si>
  <si>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</si>
  <si>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</si>
  <si>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</si>
  <si>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</si>
  <si>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</si>
  <si>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</si>
  <si>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</si>
  <si>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</si>
  <si>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</si>
  <si>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</si>
  <si>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</si>
  <si>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</si>
  <si>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</si>
  <si>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</si>
  <si>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</si>
  <si>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</si>
  <si>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</si>
  <si>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</si>
  <si>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</si>
  <si>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</si>
  <si>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</si>
  <si>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</si>
  <si>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</si>
  <si>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</si>
  <si>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</si>
  <si>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</si>
  <si>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</si>
  <si>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</si>
  <si>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</si>
  <si>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</si>
  <si>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</si>
  <si>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</si>
  <si>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</si>
  <si>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</si>
  <si>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</si>
  <si>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</si>
  <si>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</si>
  <si>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</si>
  <si>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</si>
  <si>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</si>
  <si>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</si>
  <si>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</si>
  <si>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</si>
  <si>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</si>
  <si>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</si>
  <si>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</si>
  <si>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</si>
  <si>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</si>
  <si>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</si>
  <si>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</si>
  <si>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</si>
  <si>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</si>
  <si>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</si>
  <si>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</si>
  <si>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</si>
  <si>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</si>
  <si>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</si>
  <si>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</si>
  <si>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</si>
  <si>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</si>
  <si>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</si>
  <si>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</si>
  <si>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</si>
  <si>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</si>
  <si>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</si>
  <si>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</si>
  <si>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</si>
  <si>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</si>
  <si>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</si>
  <si>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</si>
  <si>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</si>
  <si>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</si>
  <si>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</si>
  <si>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</si>
  <si>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</si>
  <si>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</si>
  <si>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</si>
  <si>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</si>
  <si>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</si>
  <si>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</si>
  <si>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</si>
  <si>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</si>
  <si>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</si>
  <si>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</si>
  <si>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</si>
  <si>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</si>
  <si>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</si>
  <si>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</si>
  <si>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</si>
  <si>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</si>
  <si>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</si>
  <si>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</si>
  <si>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</si>
  <si>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</si>
  <si>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</si>
  <si>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</si>
  <si>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</si>
  <si>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</si>
  <si>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</si>
  <si>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</si>
  <si>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</si>
  <si>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</si>
  <si>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</si>
  <si>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</si>
  <si>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</si>
  <si>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</si>
  <si>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</si>
  <si>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</si>
  <si>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</si>
  <si>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</si>
  <si>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</si>
  <si>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</si>
  <si>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</si>
  <si>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</si>
  <si>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</si>
  <si>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</si>
  <si>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</si>
  <si>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</si>
  <si>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</si>
  <si>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</si>
  <si>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</si>
  <si>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</si>
  <si>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</si>
  <si>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</si>
  <si>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</si>
  <si>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</si>
  <si>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</si>
  <si>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</si>
  <si>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</si>
  <si>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</si>
  <si>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</si>
  <si>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</si>
  <si>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</si>
  <si>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</si>
  <si>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</si>
  <si>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</si>
  <si>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</si>
  <si>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</si>
  <si>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</si>
  <si>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</si>
  <si>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</si>
  <si>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</si>
  <si>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</si>
  <si>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</si>
  <si>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</si>
  <si>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</si>
  <si>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</si>
  <si>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</si>
  <si>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</si>
  <si>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</si>
  <si>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</si>
  <si>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</si>
  <si>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</si>
  <si>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</si>
  <si>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</si>
  <si>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</si>
  <si>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</si>
  <si>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</si>
  <si>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</si>
  <si>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</si>
  <si>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</si>
  <si>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</si>
  <si>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</si>
  <si>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</si>
  <si>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</si>
  <si>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</si>
  <si>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</si>
  <si>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</si>
  <si>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</si>
  <si>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</si>
  <si>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</si>
  <si>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</si>
  <si>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</si>
  <si>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</si>
  <si>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</si>
  <si>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</si>
  <si>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</si>
  <si>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</si>
  <si>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</si>
  <si>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</si>
  <si>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</si>
  <si>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</si>
  <si>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</si>
  <si>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</si>
  <si>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</si>
  <si>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</si>
  <si>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</si>
  <si>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</si>
  <si>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</si>
  <si>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</si>
  <si>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</si>
  <si>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</si>
  <si>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</si>
  <si>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</si>
  <si>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</si>
  <si>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</si>
  <si>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</si>
  <si>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</si>
  <si>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</si>
  <si>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</si>
  <si>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</si>
  <si>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</si>
  <si>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</si>
  <si>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</si>
  <si>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</si>
  <si>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</si>
  <si>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</si>
  <si>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</si>
  <si>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</si>
  <si>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</si>
  <si>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</si>
  <si>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</si>
  <si>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</si>
  <si>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</si>
  <si>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</si>
  <si>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</si>
  <si>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</si>
  <si>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</si>
  <si>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</si>
  <si>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</si>
  <si>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</si>
  <si>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</si>
  <si>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</si>
  <si>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</si>
  <si>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</si>
  <si>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</si>
  <si>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</si>
  <si>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</si>
  <si>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</si>
  <si>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</si>
  <si>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</si>
  <si>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</si>
  <si>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</si>
  <si>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</si>
  <si>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</si>
  <si>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</si>
  <si>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</si>
  <si>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</si>
  <si>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</si>
  <si>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</si>
  <si>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</si>
  <si>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</si>
  <si>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</si>
  <si>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</si>
  <si>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</si>
  <si>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</si>
  <si>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</si>
  <si>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</si>
  <si>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</si>
  <si>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</si>
  <si>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</si>
  <si>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</si>
  <si>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</si>
  <si>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</si>
  <si>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</si>
  <si>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</si>
  <si>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</si>
  <si>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</si>
  <si>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</si>
  <si>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</si>
  <si>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</si>
  <si>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</si>
  <si>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</si>
  <si>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</si>
  <si>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</si>
  <si>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</si>
  <si>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</si>
  <si>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</si>
  <si>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</si>
  <si>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</si>
  <si>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</si>
  <si>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</si>
  <si>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</si>
  <si>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</si>
  <si>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</si>
  <si>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</si>
  <si>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</si>
  <si>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</si>
  <si>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</si>
  <si>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</si>
  <si>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</si>
  <si>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</si>
  <si>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</si>
  <si>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</si>
  <si>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</si>
  <si>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</si>
  <si>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</si>
  <si>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</si>
  <si>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</si>
  <si>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</si>
  <si>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</si>
  <si>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</si>
  <si>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</si>
  <si>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</si>
  <si>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</si>
  <si>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</si>
  <si>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</si>
  <si>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</si>
  <si>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</si>
  <si>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</si>
  <si>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</si>
  <si>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</si>
  <si>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</si>
  <si>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</si>
  <si>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</si>
  <si>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</si>
  <si>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</si>
  <si>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</si>
  <si>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</si>
  <si>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</si>
  <si>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</si>
  <si>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</si>
  <si>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</si>
  <si>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</si>
  <si>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</si>
  <si>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</si>
  <si>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</si>
  <si>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</si>
  <si>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</si>
  <si>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</si>
  <si>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</si>
  <si>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</si>
  <si>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</si>
  <si>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</si>
  <si>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</si>
  <si>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</si>
  <si>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</si>
  <si>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</si>
  <si>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</si>
  <si>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</si>
  <si>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</si>
  <si>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</si>
  <si>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</si>
  <si>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</si>
  <si>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</si>
  <si>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</si>
  <si>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</si>
  <si>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</si>
  <si>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</si>
  <si>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</si>
  <si>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</si>
  <si>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</si>
  <si>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</si>
  <si>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</si>
  <si>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</si>
  <si>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</si>
  <si>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</si>
  <si>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</si>
  <si>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</si>
  <si>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</si>
  <si>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</si>
  <si>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</si>
  <si>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</si>
  <si>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</si>
  <si>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</si>
  <si>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</si>
  <si>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</si>
  <si>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</si>
  <si>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</si>
  <si>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</si>
  <si>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</si>
  <si>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</si>
  <si>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</si>
  <si>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</si>
  <si>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</si>
  <si>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</si>
  <si>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</si>
  <si>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</si>
  <si>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</si>
  <si>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</si>
  <si>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</si>
  <si>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</si>
  <si>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</si>
  <si>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</si>
  <si>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</si>
  <si>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</si>
  <si>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</si>
  <si>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</si>
  <si>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</si>
  <si>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</si>
  <si>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</si>
  <si>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</si>
  <si>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</si>
  <si>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</si>
  <si>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</si>
  <si>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</si>
  <si>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</si>
  <si>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</si>
  <si>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</si>
  <si>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</si>
  <si>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</si>
  <si>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</si>
  <si>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</si>
  <si>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</si>
  <si>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</si>
  <si>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</si>
  <si>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</si>
  <si>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</si>
  <si>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</si>
  <si>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</si>
  <si>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</si>
  <si>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</si>
  <si>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</si>
  <si>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</si>
  <si>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</si>
  <si>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</si>
  <si>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</si>
  <si>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</si>
  <si>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</si>
  <si>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</si>
  <si>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</si>
  <si>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</si>
  <si>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</si>
  <si>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</si>
  <si>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</si>
  <si>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</si>
  <si>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</si>
  <si>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</si>
  <si>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</si>
  <si>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</si>
  <si>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</si>
  <si>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</si>
  <si>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</si>
  <si>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</si>
  <si>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</si>
  <si>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</si>
  <si>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</si>
  <si>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</si>
  <si>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</si>
  <si>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</si>
  <si>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</si>
  <si>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</si>
  <si>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</si>
  <si>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</si>
  <si>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</si>
  <si>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</si>
  <si>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</si>
  <si>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</si>
  <si>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</si>
  <si>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</si>
  <si>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</si>
  <si>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</si>
  <si>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</si>
  <si>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</si>
  <si>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</si>
  <si>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</si>
  <si>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</si>
  <si>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</si>
  <si>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</si>
  <si>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</si>
  <si>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</si>
  <si>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</si>
  <si>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</si>
  <si>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</si>
  <si>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</si>
  <si>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</si>
  <si>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</si>
  <si>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</si>
  <si>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</si>
  <si>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</si>
  <si>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</si>
  <si>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</si>
  <si>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</si>
  <si>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</si>
  <si>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</si>
  <si>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</si>
  <si>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</si>
  <si>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</si>
  <si>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</si>
  <si>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</si>
  <si>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</si>
  <si>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</si>
  <si>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</si>
  <si>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</si>
  <si>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</si>
  <si>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</si>
  <si>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</si>
  <si>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</si>
  <si>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</si>
  <si>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</si>
  <si>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</si>
  <si>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</si>
  <si>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</si>
  <si>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</si>
  <si>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</si>
  <si>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</si>
  <si>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</si>
  <si>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</si>
  <si>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</si>
  <si>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</si>
  <si>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</si>
  <si>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</si>
  <si>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</si>
  <si>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</si>
  <si>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</si>
  <si>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</si>
  <si>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</si>
  <si>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</si>
  <si>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</si>
  <si>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</si>
  <si>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</si>
  <si>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</si>
  <si>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</si>
  <si>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</si>
  <si>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</si>
  <si>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</si>
  <si>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</si>
  <si>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</si>
  <si>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</si>
  <si>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</si>
  <si>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</si>
  <si>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</si>
  <si>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</si>
  <si>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</si>
  <si>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</si>
  <si>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</si>
  <si>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</si>
  <si>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</si>
  <si>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</si>
  <si>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</si>
  <si>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</si>
  <si>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</si>
  <si>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</si>
  <si>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</si>
  <si>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</si>
  <si>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</si>
  <si>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</si>
  <si>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</si>
  <si>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</si>
  <si>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</si>
  <si>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</si>
  <si>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</si>
  <si>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</si>
  <si>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</si>
  <si>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</si>
  <si>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</si>
  <si>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</si>
  <si>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</si>
  <si>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</si>
  <si>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</si>
  <si>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</si>
  <si>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</si>
  <si>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</si>
  <si>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</si>
  <si>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</si>
  <si>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</si>
  <si>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</si>
  <si>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</si>
  <si>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</si>
  <si>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</si>
  <si>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</si>
  <si>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</si>
  <si>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</si>
  <si>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</si>
  <si>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</si>
  <si>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</si>
  <si>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</si>
  <si>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</si>
  <si>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</si>
  <si>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</si>
  <si>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</si>
  <si>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</si>
  <si>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</si>
  <si>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</si>
  <si>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</si>
  <si>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</si>
  <si>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</si>
  <si>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</si>
  <si>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</si>
  <si>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</si>
  <si>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</si>
  <si>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</si>
  <si>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</si>
  <si>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</si>
  <si>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</si>
  <si>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</si>
  <si>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</si>
  <si>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</si>
  <si>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</si>
  <si>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</si>
  <si>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</si>
  <si>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</si>
  <si>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</si>
  <si>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</si>
  <si>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</si>
  <si>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</si>
  <si>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</si>
  <si>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</si>
  <si>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</si>
  <si>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</si>
  <si>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</si>
  <si>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</si>
  <si>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</si>
  <si>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</si>
  <si>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</si>
  <si>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</si>
  <si>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</si>
  <si>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</si>
  <si>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</si>
  <si>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</si>
  <si>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</si>
  <si>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</si>
  <si>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</si>
  <si>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</si>
  <si>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</si>
  <si>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</si>
  <si>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</si>
  <si>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</si>
  <si>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</si>
  <si>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</si>
  <si>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</si>
  <si>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</si>
  <si>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</si>
  <si>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</si>
  <si>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</si>
  <si>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</si>
  <si>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</si>
  <si>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</si>
  <si>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</si>
  <si>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</si>
  <si>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</si>
  <si>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</si>
  <si>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</si>
  <si>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</si>
  <si>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</si>
  <si>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</si>
  <si>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</si>
  <si>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</si>
  <si>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</si>
  <si>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</si>
  <si>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</si>
  <si>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</si>
  <si>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</si>
  <si>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</si>
  <si>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</si>
  <si>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</si>
  <si>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</si>
  <si>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</si>
  <si>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</si>
  <si>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</si>
  <si>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</si>
  <si>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</si>
  <si>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</si>
  <si>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</si>
  <si>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</si>
  <si>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</si>
  <si>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</si>
  <si>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</si>
  <si>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</si>
  <si>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</si>
  <si>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</si>
  <si>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</si>
  <si>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</si>
  <si>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</si>
  <si>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</si>
  <si>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</si>
  <si>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</si>
  <si>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</si>
  <si>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</si>
  <si>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</si>
  <si>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</si>
  <si>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</si>
  <si>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</si>
  <si>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</si>
  <si>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</si>
  <si>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</si>
  <si>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</si>
  <si>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</si>
  <si>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</si>
  <si>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</si>
  <si>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</si>
  <si>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</si>
  <si>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</si>
  <si>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</si>
  <si>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</si>
  <si>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</si>
  <si>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</si>
  <si>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</si>
  <si>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</si>
  <si>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</si>
  <si>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</si>
  <si>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</si>
  <si>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</si>
  <si>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</si>
  <si>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</si>
  <si>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</si>
  <si>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</si>
  <si>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</si>
  <si>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</si>
  <si>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</si>
  <si>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</si>
  <si>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</si>
  <si>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</si>
  <si>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</si>
  <si>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</si>
  <si>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</si>
  <si>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</si>
  <si>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</si>
  <si>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</si>
  <si>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</si>
  <si>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</si>
  <si>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</si>
  <si>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</si>
  <si>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</si>
  <si>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</si>
  <si>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</si>
  <si>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</si>
  <si>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</si>
  <si>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</si>
  <si>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</si>
  <si>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</si>
  <si>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</si>
  <si>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</si>
  <si>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</si>
  <si>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</si>
  <si>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</si>
  <si>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</si>
  <si>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</si>
  <si>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</si>
  <si>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</si>
  <si>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</si>
  <si>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</si>
  <si>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</si>
  <si>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</si>
  <si>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</si>
  <si>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</si>
  <si>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</si>
  <si>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</si>
  <si>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</si>
  <si>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</si>
  <si>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</si>
  <si>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</si>
  <si>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</si>
  <si>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</si>
  <si>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</si>
  <si>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</si>
  <si>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</si>
  <si>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</si>
  <si>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</si>
  <si>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</si>
  <si>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</si>
  <si>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</si>
  <si>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</si>
  <si>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</si>
  <si>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</si>
  <si>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</si>
  <si>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</si>
  <si>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</si>
  <si>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</si>
  <si>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</si>
  <si>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</si>
  <si>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</si>
  <si>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</si>
  <si>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</si>
  <si>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</si>
  <si>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</si>
  <si>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</si>
  <si>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</si>
  <si>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</si>
  <si>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</si>
  <si>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</si>
  <si>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</si>
  <si>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</si>
  <si>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</si>
  <si>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</si>
  <si>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</si>
  <si>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</si>
  <si>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</si>
  <si>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</si>
  <si>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</si>
  <si>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</si>
  <si>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</si>
  <si>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</si>
  <si>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</si>
  <si>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</si>
  <si>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</si>
  <si>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</si>
  <si>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</si>
  <si>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</si>
  <si>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</si>
  <si>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</si>
  <si>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</si>
  <si>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</si>
  <si>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</si>
  <si>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</si>
  <si>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</si>
  <si>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</si>
  <si>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</si>
  <si>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</si>
  <si>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</si>
  <si>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</si>
  <si>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</si>
  <si>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</si>
  <si>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</si>
  <si>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</si>
  <si>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</si>
  <si>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</si>
  <si>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</si>
  <si>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</si>
  <si>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</si>
  <si>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</si>
  <si>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</si>
  <si>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</si>
  <si>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</si>
  <si>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</si>
  <si>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</si>
  <si>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</si>
  <si>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</si>
  <si>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</si>
  <si>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</si>
  <si>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</si>
  <si>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</si>
  <si>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</si>
  <si>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</si>
  <si>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</si>
  <si>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</si>
  <si>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</si>
  <si>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</si>
  <si>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</si>
  <si>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</si>
  <si>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</si>
  <si>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</si>
  <si>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</si>
  <si>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</si>
  <si>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</si>
  <si>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</si>
  <si>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</si>
  <si>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</si>
  <si>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</si>
  <si>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</si>
  <si>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</si>
  <si>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</si>
  <si>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</si>
  <si>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</si>
  <si>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</si>
  <si>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</si>
  <si>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</si>
  <si>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</si>
  <si>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</si>
  <si>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</si>
  <si>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</si>
  <si>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</si>
  <si>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</si>
  <si>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</si>
  <si>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</si>
  <si>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</si>
  <si>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</si>
  <si>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</si>
  <si>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</si>
  <si>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</si>
  <si>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</si>
  <si>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</si>
  <si>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</si>
  <si>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</si>
  <si>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</si>
  <si>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</si>
  <si>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</si>
  <si>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</si>
  <si>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</si>
  <si>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</si>
  <si>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</si>
  <si>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</si>
  <si>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</si>
  <si>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</si>
  <si>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</si>
  <si>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</si>
  <si>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</si>
  <si>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</si>
  <si>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</si>
  <si>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</si>
  <si>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</si>
  <si>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</si>
  <si>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</si>
  <si>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</si>
  <si>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</si>
  <si>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</si>
  <si>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</si>
  <si>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</si>
  <si>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</si>
  <si>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</si>
  <si>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</si>
  <si>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</si>
  <si>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</si>
  <si>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</si>
  <si>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</si>
  <si>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</si>
  <si>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</si>
  <si>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</si>
  <si>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</si>
  <si>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</si>
  <si>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</si>
  <si>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</si>
  <si>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</si>
  <si>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</si>
  <si>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</si>
  <si>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</si>
  <si>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</si>
  <si>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</si>
  <si>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</si>
  <si>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</si>
  <si>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</si>
  <si>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</si>
  <si>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</si>
  <si>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</si>
  <si>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</si>
  <si>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</si>
  <si>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</si>
  <si>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</si>
  <si>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</si>
  <si>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</si>
  <si>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</si>
  <si>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</si>
  <si>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</si>
  <si>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</si>
  <si>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</si>
  <si>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</si>
  <si>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</si>
  <si>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</si>
  <si>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</si>
  <si>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</si>
  <si>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</si>
  <si>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</si>
  <si>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</si>
  <si>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</si>
  <si>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</si>
  <si>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</si>
  <si>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</si>
  <si>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</si>
  <si>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</si>
  <si>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</si>
  <si>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</si>
  <si>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</si>
  <si>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</si>
  <si>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</si>
  <si>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</si>
  <si>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</si>
  <si>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</si>
  <si>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</si>
  <si>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</si>
  <si>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</si>
  <si>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</si>
  <si>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</si>
  <si>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</si>
  <si>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</si>
  <si>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</si>
  <si>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</si>
  <si>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</si>
  <si>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</si>
  <si>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</si>
  <si>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</si>
  <si>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</si>
  <si>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</si>
  <si>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</si>
  <si>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</si>
  <si>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</si>
  <si>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</si>
  <si>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</si>
  <si>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</si>
  <si>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</si>
  <si>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</si>
  <si>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</si>
  <si>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</si>
  <si>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</si>
  <si>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</si>
  <si>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</si>
  <si>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</si>
  <si>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</si>
  <si>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</si>
  <si>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</si>
  <si>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</si>
  <si>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</si>
  <si>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</si>
  <si>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</si>
  <si>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</si>
  <si>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</si>
  <si>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</si>
  <si>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</si>
  <si>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</si>
  <si>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</si>
  <si>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</si>
  <si>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</si>
  <si>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</si>
  <si>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</si>
  <si>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</si>
  <si>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</si>
  <si>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</si>
  <si>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</si>
  <si>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</si>
  <si>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</si>
  <si>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</si>
  <si>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</si>
  <si>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</si>
  <si>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</si>
  <si>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</si>
  <si>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</si>
  <si>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</si>
  <si>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</si>
  <si>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</si>
  <si>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</si>
  <si>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</si>
  <si>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</si>
  <si>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</si>
  <si>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</si>
  <si>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</si>
  <si>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</si>
  <si>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</si>
  <si>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</si>
  <si>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</si>
  <si>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</si>
  <si>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</si>
  <si>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</si>
  <si>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</si>
  <si>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</si>
  <si>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</si>
  <si>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</si>
  <si>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</si>
  <si>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</si>
  <si>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</si>
  <si>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</si>
  <si>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</si>
  <si>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</si>
  <si>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</si>
  <si>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</si>
  <si>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</si>
  <si>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</si>
  <si>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</si>
  <si>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</si>
  <si>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</si>
  <si>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</si>
  <si>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</si>
  <si>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</si>
  <si>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</si>
  <si>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</si>
  <si>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</si>
  <si>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</si>
  <si>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</si>
  <si>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</si>
  <si>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</si>
  <si>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</si>
  <si>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</si>
  <si>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</si>
  <si>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</si>
  <si>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</si>
  <si>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</si>
  <si>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</si>
  <si>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</si>
  <si>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</si>
  <si>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</si>
  <si>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</si>
  <si>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</si>
  <si>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</si>
  <si>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</si>
  <si>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</si>
  <si>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</si>
  <si>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</si>
  <si>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</si>
  <si>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</si>
  <si>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</si>
  <si>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</si>
  <si>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</si>
  <si>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</si>
  <si>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</si>
  <si>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</si>
  <si>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</si>
  <si>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</si>
  <si>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</si>
  <si>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</si>
  <si>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</si>
  <si>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</si>
  <si>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</si>
  <si>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</si>
  <si>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</si>
  <si>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</si>
  <si>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</si>
  <si>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</si>
  <si>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</si>
  <si>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</si>
  <si>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</si>
  <si>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</si>
  <si>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</si>
  <si>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</si>
  <si>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</si>
  <si>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</si>
  <si>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</si>
  <si>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</si>
  <si>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</si>
  <si>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</si>
  <si>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</si>
  <si>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</si>
  <si>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</si>
  <si>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</si>
  <si>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</si>
  <si>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</si>
  <si>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</si>
  <si>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</si>
  <si>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</si>
  <si>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</si>
  <si>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</si>
  <si>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</si>
  <si>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</si>
  <si>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</si>
  <si>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</si>
  <si>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</si>
  <si>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</si>
  <si>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</si>
  <si>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</si>
  <si>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</si>
  <si>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</si>
  <si>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</si>
  <si>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</si>
  <si>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</si>
  <si>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</si>
  <si>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</si>
  <si>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</si>
  <si>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</si>
  <si>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</si>
  <si>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</si>
  <si>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</si>
  <si>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</si>
  <si>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</si>
  <si>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</si>
  <si>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</si>
  <si>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</si>
  <si>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</si>
  <si>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</si>
  <si>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</si>
  <si>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</si>
  <si>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</si>
  <si>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</si>
  <si>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</si>
  <si>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</si>
  <si>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</si>
  <si>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</si>
  <si>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</si>
  <si>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</si>
  <si>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</si>
  <si>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</si>
  <si>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</si>
  <si>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</si>
  <si>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</si>
  <si>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</si>
  <si>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</si>
  <si>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</si>
  <si>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</si>
  <si>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</si>
  <si>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</si>
  <si>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</si>
  <si>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</si>
  <si>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</si>
  <si>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</si>
  <si>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</si>
  <si>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</si>
  <si>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</si>
  <si>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</si>
  <si>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</si>
  <si>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</si>
  <si>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</si>
  <si>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</si>
  <si>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</si>
  <si>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</si>
  <si>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</si>
  <si>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</si>
  <si>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</si>
  <si>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</si>
  <si>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</si>
  <si>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</si>
  <si>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</si>
  <si>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</si>
  <si>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</si>
  <si>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</si>
  <si>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</si>
  <si>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</si>
  <si>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</si>
  <si>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</si>
  <si>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</si>
  <si>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</si>
  <si>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</si>
  <si>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</si>
  <si>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</si>
  <si>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</si>
  <si>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</si>
  <si>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</si>
  <si>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</si>
  <si>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</si>
  <si>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</si>
  <si>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</si>
  <si>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</si>
  <si>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</si>
  <si>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</si>
  <si>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</si>
  <si>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</si>
  <si>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</si>
  <si>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</si>
  <si>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</si>
  <si>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</si>
  <si>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</si>
  <si>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</si>
  <si>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</si>
  <si>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</si>
  <si>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</si>
  <si>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</si>
  <si>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</si>
  <si>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</si>
  <si>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</si>
  <si>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</si>
  <si>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</si>
  <si>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</si>
  <si>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</si>
  <si>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</si>
  <si>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</si>
  <si>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</si>
  <si>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</si>
  <si>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</si>
  <si>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</si>
  <si>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</si>
  <si>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</si>
  <si>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</si>
  <si>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</si>
  <si>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</si>
  <si>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</si>
  <si>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</si>
  <si>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</si>
  <si>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</si>
  <si>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</si>
  <si>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</si>
  <si>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</si>
  <si>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</si>
  <si>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</si>
  <si>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</si>
  <si>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</si>
  <si>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</si>
  <si>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</si>
  <si>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</si>
  <si>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</si>
  <si>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</si>
  <si>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</si>
  <si>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</si>
  <si>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</si>
  <si>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</si>
  <si>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</si>
  <si>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</si>
  <si>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</si>
  <si>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</si>
  <si>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</si>
  <si>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</si>
  <si>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</si>
  <si>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</si>
  <si>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</si>
  <si>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</si>
  <si>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</si>
  <si>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</si>
  <si>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</si>
  <si>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</si>
  <si>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</si>
  <si>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</si>
  <si>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</si>
  <si>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</si>
  <si>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</si>
  <si>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</si>
  <si>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</si>
  <si>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</si>
  <si>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</si>
  <si>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</si>
  <si>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</si>
  <si>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</si>
  <si>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</si>
  <si>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</si>
  <si>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</si>
  <si>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</si>
  <si>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</si>
  <si>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</si>
  <si>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</si>
  <si>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</si>
  <si>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</si>
  <si>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</si>
  <si>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</si>
  <si>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</si>
  <si>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</si>
  <si>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</si>
  <si>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</si>
  <si>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</si>
  <si>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</si>
  <si>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</si>
  <si>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</si>
  <si>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</si>
  <si>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</si>
  <si>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</si>
  <si>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</si>
  <si>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</si>
  <si>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</si>
  <si>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</si>
  <si>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</si>
  <si>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</si>
  <si>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</si>
  <si>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</si>
  <si>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</si>
  <si>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</si>
  <si>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</si>
  <si>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</si>
  <si>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</si>
  <si>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</si>
  <si>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</si>
  <si>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</si>
  <si>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</si>
  <si>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</si>
  <si>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</si>
  <si>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</si>
  <si>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</si>
  <si>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</si>
  <si>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</si>
  <si>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</si>
  <si>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</si>
  <si>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</si>
  <si>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</si>
  <si>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</si>
  <si>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</si>
  <si>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</si>
  <si>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</si>
  <si>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</si>
  <si>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</si>
  <si>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</si>
  <si>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</si>
  <si>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</si>
  <si>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</si>
  <si>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</si>
  <si>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</si>
  <si>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</si>
  <si>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</si>
  <si>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</si>
  <si>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</si>
  <si>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</si>
  <si>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</si>
  <si>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</si>
  <si>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</si>
  <si>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</si>
  <si>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</si>
  <si>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</si>
  <si>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</si>
  <si>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</si>
  <si>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</si>
  <si>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</si>
  <si>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</si>
  <si>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</si>
  <si>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</si>
  <si>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</si>
  <si>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</si>
  <si>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</si>
  <si>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</si>
  <si>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</si>
  <si>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</si>
  <si>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</si>
  <si>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</si>
  <si>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</si>
  <si>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</si>
  <si>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</si>
  <si>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</si>
  <si>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</si>
  <si>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</si>
  <si>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</si>
  <si>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</si>
  <si>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</si>
  <si>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</si>
  <si>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</si>
  <si>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</si>
  <si>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</si>
  <si>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</si>
  <si>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</si>
  <si>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</si>
  <si>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</si>
  <si>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</si>
  <si>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</si>
  <si>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</si>
  <si>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</si>
  <si>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</si>
  <si>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</si>
  <si>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</si>
  <si>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</si>
  <si>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</si>
  <si>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</si>
  <si>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</si>
  <si>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</si>
  <si>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</si>
  <si>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</si>
  <si>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</si>
  <si>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</si>
  <si>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</si>
  <si>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</si>
  <si>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</si>
  <si>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</si>
  <si>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</si>
  <si>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</si>
  <si>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</si>
  <si>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</si>
  <si>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</si>
  <si>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</si>
  <si>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</si>
  <si>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</si>
  <si>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</si>
  <si>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</si>
  <si>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</si>
  <si>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</si>
  <si>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</si>
  <si>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</si>
  <si>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</si>
  <si>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</si>
  <si>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</si>
  <si>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</si>
  <si>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</si>
  <si>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</si>
  <si>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</si>
  <si>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</si>
  <si>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</si>
  <si>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</si>
  <si>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</si>
  <si>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</si>
  <si>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</si>
  <si>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</si>
  <si>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</si>
  <si>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</si>
  <si>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</si>
  <si>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</si>
  <si>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</si>
  <si>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</si>
  <si>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</si>
  <si>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</si>
  <si>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</si>
  <si>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</si>
  <si>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</si>
  <si>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</si>
  <si>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</si>
  <si>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</si>
  <si>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</si>
  <si>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</si>
  <si>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</si>
  <si>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</si>
  <si>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</si>
  <si>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</si>
  <si>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</si>
  <si>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</si>
  <si>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</si>
  <si>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</si>
  <si>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</si>
  <si>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</si>
  <si>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</si>
  <si>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</si>
  <si>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</si>
  <si>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</si>
  <si>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</si>
  <si>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</si>
  <si>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</si>
  <si>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</si>
  <si>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</si>
  <si>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</si>
  <si>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</si>
  <si>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</si>
  <si>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</si>
  <si>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</si>
  <si>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</si>
  <si>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</si>
  <si>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</si>
  <si>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</si>
  <si>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</si>
  <si>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</si>
  <si>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</si>
  <si>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</si>
  <si>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</si>
  <si>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</si>
  <si>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</si>
  <si>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</si>
  <si>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</si>
  <si>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</si>
  <si>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</si>
  <si>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</si>
  <si>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</si>
  <si>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</si>
  <si>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</si>
  <si>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</si>
  <si>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</si>
  <si>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</si>
  <si>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</si>
  <si>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</si>
  <si>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</si>
  <si>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</si>
  <si>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</si>
  <si>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</si>
  <si>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</si>
  <si>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</si>
  <si>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</si>
  <si>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</si>
  <si>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</si>
  <si>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</si>
  <si>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</si>
  <si>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</si>
  <si>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</si>
  <si>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</si>
  <si>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</si>
  <si>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</si>
  <si>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</si>
  <si>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</si>
  <si>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</si>
  <si>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</si>
  <si>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</si>
  <si>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</si>
  <si>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</si>
  <si>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</si>
  <si>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</si>
  <si>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</si>
  <si>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</si>
  <si>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</si>
  <si>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</si>
  <si>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</si>
  <si>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</si>
  <si>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</si>
  <si>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</si>
  <si>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</si>
  <si>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</si>
  <si>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</si>
  <si>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</si>
  <si>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</si>
  <si>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</si>
  <si>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</si>
  <si>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</si>
  <si>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</si>
  <si>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</si>
  <si>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</si>
  <si>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</si>
  <si>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</si>
  <si>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</si>
  <si>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</si>
  <si>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</si>
  <si>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</si>
  <si>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</si>
  <si>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</si>
  <si>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</si>
  <si>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</si>
  <si>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</si>
  <si>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</si>
  <si>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</si>
  <si>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</si>
  <si>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</si>
  <si>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</si>
  <si>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</si>
  <si>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</si>
  <si>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</si>
  <si>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</si>
  <si>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</si>
  <si>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</si>
  <si>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</si>
  <si>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</si>
  <si>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</si>
  <si>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</si>
  <si>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</si>
  <si>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</si>
  <si>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</si>
  <si>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</si>
  <si>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</si>
  <si>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</si>
  <si>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</si>
  <si>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</si>
  <si>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</si>
  <si>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</si>
  <si>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</si>
  <si>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</si>
  <si>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</si>
  <si>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</si>
  <si>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</si>
  <si>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</si>
  <si>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</si>
  <si>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</si>
  <si>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</si>
  <si>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</si>
  <si>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</si>
  <si>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</si>
  <si>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</si>
  <si>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</si>
  <si>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</si>
  <si>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</si>
  <si>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</si>
  <si>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</si>
  <si>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</si>
  <si>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</si>
  <si>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</si>
  <si>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</si>
  <si>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</si>
  <si>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</si>
  <si>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</si>
  <si>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</si>
  <si>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</si>
  <si>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</si>
  <si>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</si>
  <si>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</si>
  <si>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</si>
  <si>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</si>
  <si>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</si>
  <si>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</si>
  <si>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</si>
  <si>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</si>
  <si>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</si>
  <si>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</si>
  <si>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</si>
  <si>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</si>
  <si>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</si>
  <si>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</si>
  <si>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</si>
  <si>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</si>
  <si>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</si>
  <si>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</si>
  <si>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</si>
  <si>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</si>
  <si>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</si>
  <si>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</si>
  <si>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</si>
  <si>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</si>
  <si>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</si>
  <si>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</si>
  <si>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</si>
  <si>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</si>
  <si>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</si>
  <si>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</si>
  <si>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</si>
  <si>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</si>
  <si>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</si>
  <si>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</si>
  <si>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</si>
  <si>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</si>
  <si>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</si>
  <si>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</si>
  <si>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</si>
  <si>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</si>
  <si>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</si>
  <si>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</si>
  <si>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</si>
  <si>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</si>
  <si>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</si>
  <si>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</si>
  <si>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</si>
  <si>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</si>
  <si>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</si>
  <si>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</si>
  <si>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</si>
  <si>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</si>
  <si>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</si>
  <si>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</si>
  <si>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</si>
  <si>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</si>
  <si>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</si>
  <si>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</si>
  <si>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</si>
  <si>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</si>
  <si>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</si>
  <si>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</si>
  <si>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</si>
  <si>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</si>
  <si>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</si>
  <si>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</si>
  <si>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</si>
  <si>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</si>
  <si>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</si>
  <si>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</si>
  <si>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</si>
  <si>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</si>
  <si>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</si>
  <si>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</si>
  <si>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</si>
  <si>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</si>
  <si>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</si>
  <si>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</si>
  <si>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</si>
  <si>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</si>
  <si>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</si>
  <si>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</si>
  <si>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</si>
  <si>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</si>
  <si>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</si>
  <si>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</si>
  <si>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</si>
  <si>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</si>
  <si>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</si>
  <si>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</si>
  <si>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</si>
  <si>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</si>
  <si>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</si>
  <si>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</si>
  <si>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</si>
  <si>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</si>
  <si>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</si>
  <si>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</si>
  <si>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</si>
  <si>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</si>
  <si>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</si>
  <si>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</si>
  <si>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</si>
  <si>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</si>
  <si>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</si>
  <si>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</si>
  <si>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</si>
  <si>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</si>
  <si>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</si>
  <si>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</si>
  <si>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</si>
  <si>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</si>
  <si>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</si>
  <si>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</si>
  <si>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</si>
  <si>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</si>
  <si>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</si>
  <si>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</si>
  <si>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</si>
  <si>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</si>
  <si>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</si>
  <si>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</si>
  <si>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</si>
  <si>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</si>
  <si>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</si>
  <si>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</si>
  <si>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</si>
  <si>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</si>
  <si>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</si>
  <si>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</si>
  <si>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</si>
  <si>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</si>
  <si>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</si>
  <si>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</si>
  <si>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</si>
  <si>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</si>
  <si>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</si>
  <si>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</si>
  <si>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</si>
  <si>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</si>
  <si>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</si>
  <si>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</si>
  <si>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</si>
  <si>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</si>
  <si>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</si>
  <si>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</si>
  <si>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</si>
  <si>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</si>
  <si>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</si>
  <si>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</si>
  <si>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</si>
  <si>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</si>
  <si>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</si>
  <si>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</si>
  <si>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</si>
  <si>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</si>
  <si>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</si>
  <si>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</si>
  <si>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</si>
  <si>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</si>
  <si>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</si>
  <si>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</si>
  <si>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</si>
  <si>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</si>
  <si>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</si>
  <si>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</si>
  <si>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</si>
  <si>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</si>
  <si>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</si>
  <si>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</si>
  <si>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</si>
  <si>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</si>
  <si>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</si>
  <si>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</si>
  <si>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</si>
  <si>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</si>
  <si>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</si>
  <si>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</si>
  <si>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</si>
  <si>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</si>
  <si>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</si>
  <si>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</si>
  <si>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</si>
  <si>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</si>
  <si>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</si>
  <si>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</si>
  <si>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</si>
  <si>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</si>
  <si>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</si>
  <si>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</si>
  <si>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</si>
  <si>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</si>
  <si>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</si>
  <si>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</si>
  <si>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</si>
  <si>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</si>
  <si>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</si>
  <si>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</si>
  <si>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</si>
  <si>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</si>
  <si>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</si>
  <si>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</si>
  <si>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</si>
  <si>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</si>
  <si>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</si>
  <si>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</si>
  <si>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</si>
  <si>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</si>
  <si>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</si>
  <si>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</si>
  <si>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</si>
  <si>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</si>
  <si>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</si>
  <si>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</si>
  <si>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</si>
  <si>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</si>
  <si>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</si>
  <si>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</si>
  <si>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</si>
  <si>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</si>
  <si>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</si>
  <si>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</si>
  <si>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</si>
  <si>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</si>
  <si>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</si>
  <si>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</si>
  <si>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</si>
  <si>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</si>
  <si>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</si>
  <si>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</si>
  <si>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</si>
  <si>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</si>
  <si>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</si>
  <si>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</si>
  <si>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</si>
  <si>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</si>
  <si>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</si>
  <si>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</si>
  <si>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</si>
  <si>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</si>
  <si>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</si>
  <si>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</si>
  <si>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</si>
  <si>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</si>
  <si>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</si>
  <si>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</si>
  <si>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</si>
  <si>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</si>
  <si>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</si>
  <si>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</si>
  <si>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</si>
  <si>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</si>
  <si>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</si>
  <si>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</si>
  <si>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</si>
  <si>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</si>
  <si>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</si>
  <si>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</si>
  <si>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</si>
  <si>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</si>
  <si>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</si>
  <si>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</si>
  <si>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</si>
  <si>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</si>
  <si>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</si>
  <si>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</si>
  <si>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</si>
  <si>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</si>
  <si>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</si>
  <si>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</si>
  <si>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</si>
  <si>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</si>
  <si>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</si>
  <si>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</si>
  <si>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</si>
  <si>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</si>
  <si>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</si>
  <si>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</si>
  <si>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</si>
  <si>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</si>
  <si>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</si>
  <si>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</si>
  <si>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</si>
  <si>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</si>
  <si>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</si>
  <si>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</si>
  <si>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</si>
  <si>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</si>
  <si>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</si>
  <si>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</si>
  <si>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</si>
  <si>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</si>
  <si>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</si>
  <si>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</si>
  <si>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</si>
  <si>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</si>
  <si>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</si>
  <si>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</si>
  <si>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</si>
  <si>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</si>
  <si>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</si>
  <si>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</si>
  <si>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</si>
  <si>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</si>
  <si>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</si>
  <si>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</si>
  <si>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</si>
  <si>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</si>
  <si>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</si>
  <si>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</si>
  <si>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</si>
  <si>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</si>
  <si>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</si>
  <si>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</si>
  <si>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</si>
  <si>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</si>
  <si>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</si>
  <si>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</si>
  <si>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</si>
  <si>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</si>
  <si>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</si>
  <si>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</si>
  <si>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</si>
  <si>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</si>
  <si>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</si>
  <si>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</si>
  <si>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</si>
  <si>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</si>
  <si>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</si>
  <si>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</si>
  <si>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</si>
  <si>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</si>
  <si>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</si>
  <si>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</si>
  <si>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</si>
  <si>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</si>
  <si>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</si>
  <si>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</si>
  <si>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</si>
  <si>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</si>
  <si>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</si>
  <si>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</si>
  <si>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</si>
  <si>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</si>
  <si>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</si>
  <si>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</si>
  <si>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</si>
  <si>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</si>
  <si>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</si>
  <si>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</si>
  <si>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</si>
  <si>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</si>
  <si>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</si>
  <si>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</si>
  <si>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</si>
  <si>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</si>
  <si>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</si>
  <si>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</si>
  <si>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</si>
  <si>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</si>
  <si>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</si>
  <si>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</si>
  <si>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</si>
  <si>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</si>
  <si>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</si>
  <si>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</si>
  <si>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</si>
  <si>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</si>
  <si>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</si>
  <si>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</si>
  <si>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</si>
  <si>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</si>
  <si>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</si>
  <si>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</si>
  <si>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</si>
  <si>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</si>
  <si>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</si>
  <si>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</si>
  <si>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</si>
  <si>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</si>
  <si>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</si>
  <si>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</si>
  <si>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</si>
  <si>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</si>
  <si>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</si>
  <si>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</si>
  <si>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</si>
  <si>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</si>
  <si>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</si>
  <si>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</si>
  <si>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</si>
  <si>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</si>
  <si>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</si>
  <si>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</si>
  <si>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</si>
  <si>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</si>
  <si>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</si>
  <si>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</si>
  <si>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</si>
  <si>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</si>
  <si>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</si>
  <si>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</si>
  <si>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</si>
  <si>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</si>
  <si>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</si>
  <si>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</si>
  <si>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</si>
  <si>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</si>
  <si>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</si>
  <si>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</si>
  <si>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</si>
  <si>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</si>
  <si>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</si>
  <si>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</si>
  <si>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</si>
  <si>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</si>
  <si>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</si>
  <si>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</si>
  <si>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</si>
  <si>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</si>
  <si>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</si>
  <si>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</si>
  <si>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</si>
  <si>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</si>
  <si>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</si>
  <si>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</si>
  <si>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</si>
  <si>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</si>
  <si>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</si>
  <si>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</si>
  <si>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</si>
  <si>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</si>
  <si>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</si>
  <si>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</si>
  <si>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</si>
  <si>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</si>
  <si>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</si>
  <si>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</si>
  <si>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</si>
  <si>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</si>
  <si>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</si>
  <si>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</si>
  <si>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</si>
  <si>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</si>
  <si>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</si>
  <si>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</si>
  <si>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</si>
  <si>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</si>
  <si>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</si>
  <si>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</si>
  <si>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</si>
  <si>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</si>
  <si>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</si>
  <si>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</si>
  <si>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</si>
  <si>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</si>
  <si>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</si>
  <si>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</si>
  <si>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</si>
  <si>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</si>
  <si>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</si>
  <si>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</si>
  <si>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</si>
  <si>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</si>
  <si>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</si>
  <si>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</si>
  <si>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</si>
  <si>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</si>
  <si>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</si>
  <si>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</si>
  <si>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</si>
  <si>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</si>
  <si>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</si>
  <si>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</si>
  <si>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</si>
  <si>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</si>
  <si>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</si>
  <si>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</si>
  <si>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</si>
  <si>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</si>
  <si>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</si>
  <si>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</si>
  <si>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</si>
  <si>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</si>
  <si>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</si>
  <si>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</si>
  <si>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</si>
  <si>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</si>
  <si>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</si>
  <si>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</si>
  <si>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</si>
  <si>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</si>
  <si>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</si>
  <si>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</si>
  <si>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</si>
  <si>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</si>
  <si>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</si>
  <si>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</si>
  <si>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</si>
  <si>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</si>
  <si>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</si>
  <si>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</si>
  <si>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</si>
  <si>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</si>
  <si>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</si>
  <si>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</si>
  <si>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</si>
  <si>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</si>
  <si>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</si>
  <si>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</si>
  <si>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</si>
  <si>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</si>
  <si>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</si>
  <si>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</si>
  <si>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</si>
  <si>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</si>
  <si>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</si>
  <si>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</si>
  <si>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</si>
  <si>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</si>
  <si>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</si>
  <si>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</si>
  <si>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</si>
  <si>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</si>
  <si>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</si>
  <si>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</si>
  <si>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</si>
  <si>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</si>
  <si>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</si>
  <si>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</si>
  <si>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</si>
  <si>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</si>
  <si>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</si>
  <si>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</si>
  <si>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</si>
  <si>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</si>
  <si>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</si>
  <si>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</si>
  <si>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</si>
  <si>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</si>
  <si>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</si>
  <si>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</si>
  <si>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</si>
  <si>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</si>
  <si>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</si>
  <si>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</si>
  <si>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</si>
  <si>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</si>
  <si>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</si>
  <si>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</si>
  <si>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</si>
  <si>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</si>
  <si>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</si>
  <si>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</si>
  <si>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</si>
  <si>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</si>
  <si>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</si>
  <si>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</si>
  <si>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</si>
  <si>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</si>
  <si>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</si>
  <si>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</si>
  <si>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</si>
  <si>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</si>
  <si>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</si>
  <si>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</si>
  <si>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</si>
  <si>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</si>
  <si>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</si>
  <si>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</si>
  <si>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</si>
  <si>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</si>
  <si>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</si>
  <si>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</si>
  <si>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</si>
  <si>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</si>
  <si>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</si>
  <si>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</si>
  <si>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</si>
  <si>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</si>
  <si>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</si>
  <si>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</si>
  <si>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</si>
  <si>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</si>
  <si>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</si>
  <si>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</si>
  <si>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</si>
  <si>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</si>
  <si>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</si>
  <si>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</si>
  <si>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</si>
  <si>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</si>
  <si>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</si>
  <si>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</si>
  <si>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</si>
  <si>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</si>
  <si>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</si>
  <si>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</si>
  <si>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</si>
  <si>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</si>
  <si>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</si>
  <si>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</si>
  <si>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</si>
  <si>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</si>
  <si>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</si>
  <si>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</si>
  <si>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</si>
  <si>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</si>
  <si>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</si>
  <si>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</si>
  <si>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</si>
  <si>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</si>
  <si>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</si>
  <si>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</si>
  <si>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</si>
  <si>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</si>
  <si>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</si>
  <si>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</si>
  <si>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</si>
  <si>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</si>
  <si>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</si>
  <si>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</si>
  <si>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</si>
  <si>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</si>
  <si>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</si>
  <si>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</si>
  <si>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</si>
  <si>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</si>
  <si>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</si>
  <si>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</si>
  <si>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</si>
  <si>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</si>
  <si>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</si>
  <si>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</si>
  <si>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</si>
  <si>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</si>
  <si>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</si>
  <si>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</si>
  <si>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</si>
  <si>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</si>
  <si>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</si>
  <si>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</si>
  <si>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</si>
  <si>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</si>
  <si>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</si>
  <si>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</si>
  <si>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</si>
  <si>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</si>
  <si>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</si>
  <si>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</si>
  <si>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</si>
  <si>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</si>
  <si>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</si>
  <si>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</si>
  <si>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</si>
  <si>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</si>
  <si>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</si>
  <si>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</si>
  <si>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</si>
  <si>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</si>
  <si>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</si>
  <si>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</si>
  <si>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</si>
  <si>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</si>
  <si>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</si>
  <si>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</si>
  <si>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</si>
  <si>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</si>
  <si>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</si>
  <si>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</si>
  <si>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</si>
  <si>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</si>
  <si>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</si>
  <si>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</si>
  <si>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</si>
  <si>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</si>
  <si>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</si>
  <si>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</si>
  <si>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</si>
  <si>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</si>
  <si>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</si>
  <si>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</si>
  <si>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</si>
  <si>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</si>
  <si>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</si>
  <si>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</si>
  <si>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</si>
  <si>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</si>
  <si>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</si>
  <si>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</si>
  <si>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</si>
  <si>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</si>
  <si>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</si>
  <si>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</si>
  <si>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</si>
  <si>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</si>
  <si>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</si>
  <si>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</si>
  <si>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</si>
  <si>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</si>
  <si>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</si>
  <si>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</si>
  <si>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</si>
  <si>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</si>
  <si>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</si>
  <si>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</si>
  <si>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</si>
  <si>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</si>
  <si>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</si>
  <si>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</si>
  <si>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</si>
  <si>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</si>
  <si>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</si>
  <si>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</si>
  <si>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</si>
  <si>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</si>
  <si>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</si>
  <si>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</si>
  <si>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</si>
  <si>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</si>
  <si>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</si>
  <si>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</si>
  <si>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</si>
  <si>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</si>
  <si>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</si>
  <si>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</si>
  <si>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</si>
  <si>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</si>
  <si>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</si>
  <si>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</si>
  <si>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</si>
  <si>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</si>
  <si>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</si>
  <si>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</si>
  <si>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</si>
  <si>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</si>
  <si>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</si>
  <si>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</si>
  <si>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</si>
  <si>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</si>
  <si>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</si>
  <si>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</si>
  <si>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</si>
  <si>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</si>
  <si>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</si>
  <si>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</si>
  <si>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</si>
  <si>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</si>
  <si>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</si>
  <si>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</si>
  <si>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</si>
  <si>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</si>
  <si>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</si>
  <si>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</si>
  <si>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</si>
  <si>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</si>
  <si>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</si>
  <si>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</si>
  <si>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</si>
  <si>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</si>
  <si>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</si>
  <si>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</si>
  <si>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</si>
  <si>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</si>
  <si>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</si>
  <si>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</si>
  <si>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</si>
  <si>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</si>
  <si>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</si>
  <si>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</si>
  <si>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</si>
  <si>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</si>
  <si>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</si>
  <si>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</si>
  <si>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</si>
  <si>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</si>
  <si>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</si>
  <si>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</si>
  <si>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</si>
  <si>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</si>
  <si>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</si>
  <si>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</si>
  <si>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</si>
  <si>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</si>
  <si>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</si>
  <si>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</si>
  <si>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</si>
  <si>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</si>
  <si>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</si>
  <si>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</si>
  <si>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</si>
  <si>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</si>
  <si>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</si>
  <si>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</si>
  <si>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</si>
  <si>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</si>
  <si>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</si>
  <si>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</si>
  <si>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</si>
  <si>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</si>
  <si>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</si>
  <si>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</si>
  <si>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</si>
  <si>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</si>
  <si>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</si>
  <si>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</si>
  <si>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</si>
  <si>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</si>
  <si>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</si>
  <si>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</si>
  <si>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</si>
  <si>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</si>
  <si>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</si>
  <si>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</si>
  <si>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</si>
  <si>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</si>
  <si>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</si>
  <si>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</si>
  <si>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</si>
  <si>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</si>
  <si>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</si>
  <si>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</si>
  <si>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</si>
  <si>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</si>
  <si>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</si>
  <si>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</si>
  <si>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</si>
  <si>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</si>
  <si>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</si>
  <si>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</si>
  <si>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</si>
  <si>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</si>
  <si>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</si>
  <si>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</si>
  <si>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</si>
  <si>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</si>
  <si>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</si>
  <si>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</si>
  <si>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</si>
  <si>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</si>
  <si>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</si>
  <si>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</si>
  <si>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</si>
  <si>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</si>
  <si>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</si>
  <si>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</si>
  <si>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</si>
  <si>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</si>
  <si>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</si>
  <si>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</si>
  <si>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</si>
  <si>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</si>
  <si>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</si>
  <si>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</si>
  <si>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</si>
  <si>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</si>
  <si>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</si>
  <si>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</si>
  <si>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</si>
  <si>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</si>
  <si>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</si>
  <si>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</si>
  <si>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</si>
  <si>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</si>
  <si>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</si>
  <si>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</si>
  <si>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</si>
  <si>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</si>
  <si>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</si>
  <si>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</si>
  <si>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</si>
  <si>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</si>
  <si>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</si>
  <si>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</si>
  <si>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</si>
  <si>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</si>
  <si>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</si>
  <si>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</si>
  <si>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</si>
  <si>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</si>
  <si>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</si>
  <si>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</si>
  <si>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</si>
  <si>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</si>
  <si>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</si>
  <si>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</si>
  <si>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</si>
  <si>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</si>
  <si>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</si>
  <si>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</si>
  <si>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</si>
  <si>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</si>
  <si>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</si>
  <si>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</si>
  <si>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</si>
  <si>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</si>
  <si>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</si>
  <si>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</si>
  <si>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</si>
  <si>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</si>
  <si>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</si>
  <si>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</si>
  <si>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</si>
  <si>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</si>
  <si>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</si>
  <si>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</si>
  <si>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</si>
  <si>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</si>
  <si>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</si>
  <si>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</si>
  <si>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</si>
  <si>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</si>
  <si>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</si>
  <si>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</si>
  <si>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</si>
  <si>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</si>
  <si>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</si>
  <si>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</si>
  <si>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</si>
  <si>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</si>
  <si>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</si>
  <si>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</si>
  <si>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</si>
  <si>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</si>
  <si>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</si>
  <si>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</si>
  <si>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</si>
  <si>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</si>
  <si>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</si>
  <si>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</si>
  <si>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</si>
  <si>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</si>
  <si>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</si>
  <si>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</si>
  <si>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</si>
  <si>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</si>
  <si>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</si>
  <si>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</si>
  <si>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</si>
  <si>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</si>
  <si>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</si>
  <si>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</si>
  <si>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</si>
  <si>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</si>
  <si>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</si>
  <si>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</si>
  <si>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</si>
  <si>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</si>
  <si>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</si>
  <si>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</si>
  <si>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</si>
  <si>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</si>
  <si>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</si>
  <si>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</si>
  <si>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</si>
  <si>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</si>
  <si>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</si>
  <si>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</si>
  <si>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</si>
  <si>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</si>
  <si>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</si>
  <si>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</si>
  <si>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</si>
  <si>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</si>
  <si>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</si>
  <si>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</si>
  <si>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</si>
  <si>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</si>
  <si>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</si>
  <si>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</si>
  <si>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</si>
  <si>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</si>
  <si>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</si>
  <si>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</si>
  <si>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</si>
  <si>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</si>
  <si>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</si>
  <si>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</si>
  <si>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</si>
  <si>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</si>
  <si>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</si>
  <si>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</si>
  <si>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</si>
  <si>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</si>
  <si>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</si>
  <si>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</si>
  <si>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</si>
  <si>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</si>
  <si>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</si>
  <si>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</si>
  <si>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</si>
  <si>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</si>
  <si>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</si>
  <si>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</si>
  <si>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</si>
  <si>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</si>
  <si>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</si>
  <si>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</si>
  <si>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</si>
  <si>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</si>
  <si>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</si>
  <si>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</si>
  <si>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</si>
  <si>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</si>
  <si>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</si>
  <si>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</si>
  <si>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</si>
  <si>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</si>
  <si>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</si>
  <si>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</si>
  <si>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</si>
  <si>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</si>
  <si>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</si>
  <si>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</si>
  <si>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</si>
  <si>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</si>
  <si>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</si>
  <si>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</si>
  <si>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</si>
  <si>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</si>
  <si>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</si>
  <si>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</si>
  <si>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</si>
  <si>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</si>
  <si>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</si>
  <si>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</si>
  <si>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</si>
  <si>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</si>
  <si>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</si>
  <si>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</si>
  <si>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</si>
  <si>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</si>
  <si>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</si>
  <si>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</si>
  <si>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</si>
  <si>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</si>
  <si>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</si>
  <si>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</si>
  <si>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</si>
  <si>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</si>
  <si>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</si>
  <si>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</si>
  <si>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</si>
  <si>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</si>
  <si>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</si>
  <si>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</si>
  <si>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</si>
  <si>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</si>
  <si>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</si>
  <si>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</si>
  <si>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</si>
  <si>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</si>
  <si>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</si>
  <si>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</si>
  <si>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</si>
  <si>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</si>
  <si>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</si>
  <si>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</si>
  <si>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</si>
  <si>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</si>
  <si>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</si>
  <si>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</si>
  <si>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</si>
  <si>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</si>
  <si>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</si>
  <si>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</si>
  <si>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</si>
  <si>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</si>
  <si>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</si>
  <si>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</si>
  <si>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</si>
  <si>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</si>
  <si>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</si>
  <si>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</si>
  <si>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</si>
  <si>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</si>
  <si>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</si>
  <si>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</si>
  <si>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</si>
  <si>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</si>
  <si>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</si>
  <si>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</si>
  <si>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</si>
  <si>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</si>
  <si>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</si>
  <si>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</si>
  <si>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</si>
  <si>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</si>
  <si>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</si>
  <si>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</si>
  <si>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</si>
  <si>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</si>
  <si>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</si>
  <si>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</si>
  <si>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</si>
  <si>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</si>
  <si>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</si>
  <si>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</si>
  <si>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</si>
  <si>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</si>
  <si>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</si>
  <si>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</si>
  <si>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</si>
  <si>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</si>
  <si>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</si>
  <si>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</si>
  <si>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</si>
  <si>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</si>
  <si>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</si>
  <si>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</si>
  <si>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</si>
  <si>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</si>
  <si>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</si>
  <si>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</si>
  <si>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</si>
  <si>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</si>
  <si>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</si>
  <si>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</si>
  <si>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</si>
  <si>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</si>
  <si>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</si>
  <si>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</si>
  <si>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</si>
  <si>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</si>
  <si>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</si>
  <si>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</si>
  <si>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</si>
  <si>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</si>
  <si>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</si>
  <si>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</si>
  <si>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</si>
  <si>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</si>
  <si>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</si>
  <si>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</si>
  <si>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</si>
  <si>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</si>
  <si>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</si>
  <si>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</si>
  <si>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</si>
  <si>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</si>
  <si>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</si>
  <si>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</si>
  <si>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</si>
  <si>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</si>
  <si>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</si>
  <si>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</si>
  <si>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</si>
  <si>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</si>
  <si>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</si>
  <si>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</si>
  <si>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</si>
  <si>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</si>
  <si>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</si>
  <si>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</si>
  <si>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</si>
  <si>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</si>
  <si>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</si>
  <si>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</si>
  <si>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</si>
  <si>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</si>
  <si>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</si>
  <si>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</si>
  <si>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</si>
  <si>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</si>
  <si>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</si>
  <si>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</si>
  <si>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</si>
  <si>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</si>
  <si>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</si>
  <si>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</si>
  <si>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</si>
  <si>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</si>
  <si>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</si>
  <si>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</si>
  <si>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</si>
  <si>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</si>
  <si>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</si>
  <si>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</si>
  <si>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</si>
  <si>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</si>
  <si>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</si>
  <si>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</si>
  <si>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</si>
  <si>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</si>
  <si>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</si>
  <si>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</si>
  <si>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</si>
  <si>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</si>
  <si>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</si>
  <si>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</si>
  <si>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</si>
  <si>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</si>
  <si>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</si>
  <si>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</si>
  <si>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</si>
  <si>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</si>
  <si>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</si>
  <si>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</si>
  <si>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</si>
  <si>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</si>
  <si>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</si>
  <si>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</si>
  <si>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</si>
  <si>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</si>
  <si>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</si>
  <si>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</si>
  <si>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</si>
  <si>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</si>
  <si>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</si>
  <si>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</si>
  <si>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</si>
  <si>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</si>
  <si>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</si>
  <si>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</si>
  <si>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</si>
  <si>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</si>
  <si>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</si>
  <si>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</si>
  <si>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</si>
  <si>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</si>
  <si>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</si>
  <si>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</si>
  <si>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</si>
  <si>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</si>
  <si>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</si>
  <si>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</si>
  <si>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</si>
  <si>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</si>
  <si>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</si>
  <si>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</si>
  <si>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</si>
  <si>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</si>
  <si>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</si>
  <si>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</si>
  <si>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</si>
  <si>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</si>
  <si>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</si>
  <si>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</si>
  <si>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</si>
  <si>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</si>
  <si>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</si>
  <si>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</si>
  <si>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</si>
  <si>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</si>
  <si>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</si>
  <si>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</si>
  <si>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</si>
  <si>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</si>
  <si>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</si>
  <si>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</si>
  <si>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</si>
  <si>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</si>
  <si>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</si>
  <si>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</si>
  <si>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</si>
  <si>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</si>
  <si>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</si>
  <si>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</si>
  <si>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</si>
  <si>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</si>
  <si>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</si>
  <si>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</si>
  <si>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</si>
  <si>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</si>
  <si>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</si>
  <si>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</si>
  <si>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</si>
  <si>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</si>
  <si>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</si>
  <si>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</si>
  <si>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</si>
  <si>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</si>
  <si>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</si>
  <si>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</si>
  <si>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</si>
  <si>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</si>
  <si>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</si>
  <si>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</si>
  <si>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</si>
  <si>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</si>
  <si>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</si>
  <si>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</si>
  <si>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</si>
  <si>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</si>
  <si>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</si>
  <si>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</si>
  <si>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</si>
  <si>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</si>
  <si>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</si>
  <si>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</si>
  <si>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</si>
  <si>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</si>
  <si>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</si>
  <si>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</si>
  <si>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</si>
  <si>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</si>
  <si>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</si>
  <si>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</si>
  <si>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</si>
  <si>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</si>
  <si>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</si>
  <si>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</si>
  <si>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</si>
  <si>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</si>
  <si>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</si>
  <si>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</si>
  <si>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</si>
  <si>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</si>
  <si>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</si>
  <si>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</si>
  <si>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</si>
  <si>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</si>
  <si>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</si>
  <si>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</si>
  <si>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</si>
  <si>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</si>
  <si>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</si>
  <si>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</si>
  <si>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</si>
  <si>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</si>
  <si>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</si>
  <si>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</si>
  <si>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</si>
  <si>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</si>
  <si>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</si>
  <si>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</si>
  <si>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</si>
  <si>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</si>
  <si>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</si>
  <si>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</si>
  <si>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</si>
  <si>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</si>
  <si>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</si>
  <si>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</si>
  <si>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</si>
  <si>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</si>
  <si>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</si>
  <si>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</si>
  <si>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</si>
  <si>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</si>
  <si>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</si>
  <si>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</si>
  <si>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</si>
  <si>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</si>
  <si>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</si>
  <si>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</si>
  <si>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</si>
  <si>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</si>
  <si>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</si>
  <si>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</si>
  <si>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</si>
  <si>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</si>
  <si>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</si>
  <si>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</si>
  <si>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</si>
  <si>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</si>
  <si>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</si>
  <si>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</si>
  <si>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</si>
  <si>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</si>
  <si>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</si>
  <si>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</si>
  <si>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</si>
  <si>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</si>
  <si>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</si>
  <si>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</si>
  <si>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</si>
  <si>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</si>
  <si>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</si>
  <si>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</si>
  <si>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</si>
  <si>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</si>
  <si>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</si>
  <si>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</si>
  <si>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</si>
  <si>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</si>
  <si>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</si>
  <si>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</si>
  <si>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</si>
  <si>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</si>
  <si>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</si>
  <si>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</si>
  <si>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</si>
  <si>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</si>
  <si>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</si>
  <si>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</si>
  <si>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</si>
  <si>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</si>
  <si>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</si>
  <si>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</si>
  <si>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</si>
  <si>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</si>
  <si>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</si>
  <si>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</si>
  <si>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</si>
  <si>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</si>
  <si>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</si>
  <si>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</si>
  <si>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</si>
  <si>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</si>
  <si>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</si>
  <si>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</si>
  <si>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</si>
  <si>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</si>
  <si>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</si>
  <si>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</si>
  <si>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</si>
  <si>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</si>
  <si>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</si>
  <si>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</si>
  <si>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</si>
  <si>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</si>
  <si>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</si>
  <si>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</si>
  <si>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</si>
  <si>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</si>
  <si>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</si>
  <si>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</si>
  <si>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</si>
  <si>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</si>
  <si>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</si>
  <si>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</si>
  <si>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</si>
  <si>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</si>
  <si>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</si>
  <si>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</si>
  <si>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</si>
  <si>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</si>
  <si>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</si>
  <si>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</si>
  <si>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</si>
  <si>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</si>
  <si>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</si>
  <si>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</si>
  <si>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</si>
  <si>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</si>
  <si>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</si>
  <si>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</si>
  <si>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</si>
  <si>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</si>
  <si>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</si>
  <si>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</si>
  <si>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</si>
  <si>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</si>
  <si>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</si>
  <si>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</si>
  <si>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</si>
  <si>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</si>
  <si>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</si>
  <si>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</si>
  <si>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</si>
  <si>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</si>
  <si>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</si>
  <si>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</si>
  <si>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</si>
  <si>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</si>
  <si>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</si>
  <si>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</si>
  <si>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</si>
  <si>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</si>
  <si>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</si>
  <si>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</si>
  <si>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</si>
  <si>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</si>
  <si>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</si>
  <si>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</si>
  <si>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</si>
  <si>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</si>
  <si>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</si>
  <si>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</si>
  <si>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</si>
  <si>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</si>
  <si>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</si>
  <si>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</si>
  <si>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</si>
  <si>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</si>
  <si>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</si>
  <si>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</si>
  <si>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</si>
  <si>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</si>
  <si>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</si>
  <si>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</si>
  <si>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</si>
  <si>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</si>
  <si>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</si>
  <si>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</si>
  <si>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</si>
  <si>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</si>
  <si>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</si>
  <si>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</si>
  <si>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</si>
  <si>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</si>
  <si>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</si>
  <si>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</si>
  <si>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</si>
  <si>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</si>
  <si>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</si>
  <si>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</si>
  <si>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</si>
  <si>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</si>
  <si>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</si>
  <si>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</si>
  <si>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</si>
  <si>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</si>
  <si>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</si>
  <si>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</si>
  <si>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</si>
  <si>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</si>
  <si>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</si>
  <si>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</si>
  <si>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</si>
  <si>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</si>
  <si>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</si>
  <si>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</si>
  <si>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</si>
  <si>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</si>
  <si>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</si>
  <si>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</si>
  <si>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</si>
  <si>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</si>
  <si>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</si>
  <si>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</si>
  <si>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</si>
  <si>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</si>
  <si>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</si>
  <si>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</si>
  <si>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</si>
  <si>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</si>
  <si>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</si>
  <si>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</si>
  <si>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</si>
  <si>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</si>
  <si>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</si>
  <si>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</si>
  <si>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</si>
  <si>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</si>
  <si>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</si>
  <si>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</si>
  <si>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</si>
  <si>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</si>
  <si>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</si>
  <si>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</si>
  <si>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</si>
  <si>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</si>
  <si>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</si>
  <si>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</si>
  <si>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</si>
  <si>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</si>
  <si>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</si>
  <si>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</si>
  <si>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</si>
  <si>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</si>
  <si>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</si>
  <si>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</si>
  <si>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</si>
  <si>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</si>
  <si>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</si>
  <si>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</si>
  <si>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</si>
  <si>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</si>
  <si>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</si>
  <si>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</si>
  <si>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</si>
  <si>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</si>
  <si>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</si>
  <si>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</si>
  <si>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</si>
  <si>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</si>
  <si>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</si>
  <si>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</si>
  <si>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</si>
  <si>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</si>
  <si>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</si>
  <si>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</si>
  <si>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</si>
  <si>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</si>
  <si>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</si>
  <si>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</si>
  <si>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</si>
  <si>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</si>
  <si>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</si>
  <si>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</si>
  <si>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</si>
  <si>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</si>
  <si>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</si>
  <si>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</si>
  <si>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</si>
  <si>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</si>
  <si>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</si>
  <si>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</si>
  <si>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</si>
  <si>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</si>
  <si>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</si>
  <si>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</si>
  <si>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</si>
  <si>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</si>
  <si>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</si>
  <si>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</si>
  <si>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</si>
  <si>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</si>
  <si>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</si>
  <si>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</si>
  <si>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</si>
  <si>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</si>
  <si>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</si>
  <si>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</si>
  <si>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</si>
  <si>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</si>
  <si>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</si>
  <si>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</si>
  <si>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</si>
  <si>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</si>
  <si>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</si>
  <si>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</si>
  <si>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</si>
  <si>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</si>
  <si>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</si>
  <si>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</si>
  <si>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</si>
  <si>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</si>
  <si>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</si>
  <si>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</si>
  <si>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</si>
  <si>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</si>
  <si>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</si>
  <si>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</si>
  <si>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</si>
  <si>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</si>
  <si>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</si>
  <si>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</si>
  <si>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</si>
  <si>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</si>
  <si>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</si>
  <si>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</si>
  <si>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</si>
  <si>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</si>
  <si>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</si>
  <si>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</si>
  <si>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</si>
  <si>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</si>
  <si>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</si>
  <si>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</si>
  <si>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</si>
  <si>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</si>
  <si>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</si>
  <si>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</si>
  <si>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</si>
  <si>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</si>
  <si>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</si>
  <si>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</si>
  <si>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</si>
  <si>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</si>
  <si>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</si>
  <si>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</si>
  <si>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</si>
  <si>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</si>
  <si>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</si>
  <si>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</si>
  <si>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</si>
  <si>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</si>
  <si>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</si>
  <si>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</si>
  <si>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</si>
  <si>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</si>
  <si>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</si>
  <si>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</si>
  <si>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</si>
  <si>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</si>
  <si>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</si>
  <si>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</si>
  <si>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</si>
  <si>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</si>
  <si>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</si>
  <si>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</si>
  <si>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</si>
  <si>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</si>
  <si>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</si>
  <si>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</si>
  <si>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</si>
  <si>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</si>
  <si>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</si>
  <si>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</si>
  <si>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</si>
  <si>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</si>
  <si>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</si>
  <si>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</si>
  <si>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</si>
  <si>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</si>
  <si>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</si>
  <si>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</si>
  <si>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</si>
  <si>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</si>
  <si>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</si>
  <si>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</si>
  <si>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</si>
  <si>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</si>
  <si>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</si>
  <si>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</si>
  <si>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</si>
  <si>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</si>
  <si>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</si>
  <si>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</si>
  <si>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</si>
  <si>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</si>
  <si>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</si>
  <si>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</si>
  <si>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</si>
  <si>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</si>
  <si>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</si>
  <si>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</si>
  <si>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</si>
  <si>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</si>
  <si>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</si>
  <si>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</si>
  <si>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</si>
  <si>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</si>
  <si>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</si>
  <si>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</si>
  <si>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</si>
  <si>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</si>
  <si>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</si>
  <si>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</si>
  <si>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</si>
  <si>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</si>
  <si>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</si>
  <si>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</si>
  <si>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</si>
  <si>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</si>
  <si>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</si>
  <si>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</si>
  <si>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</si>
  <si>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</si>
  <si>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</si>
  <si>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</si>
  <si>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</si>
  <si>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</si>
  <si>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</si>
  <si>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</si>
  <si>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</si>
  <si>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</si>
  <si>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</si>
  <si>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</si>
  <si>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</si>
  <si>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</si>
  <si>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</si>
  <si>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</si>
  <si>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</si>
  <si>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</si>
  <si>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</si>
  <si>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</si>
  <si>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</si>
  <si>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</si>
  <si>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</si>
  <si>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</si>
  <si>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</si>
  <si>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</si>
  <si>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</si>
  <si>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</si>
  <si>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</si>
  <si>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</si>
  <si>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</si>
  <si>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</si>
  <si>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</si>
  <si>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</si>
  <si>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</si>
  <si>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</si>
  <si>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</si>
  <si>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</si>
  <si>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</si>
  <si>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</si>
  <si>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</si>
  <si>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</si>
  <si>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</si>
  <si>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</si>
  <si>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</si>
  <si>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</si>
  <si>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</si>
  <si>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</si>
  <si>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</si>
  <si>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</si>
  <si>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</si>
  <si>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</si>
  <si>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</si>
  <si>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</si>
  <si>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</si>
  <si>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</si>
  <si>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</si>
  <si>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</si>
  <si>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</si>
  <si>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</si>
  <si>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</si>
  <si>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</si>
  <si>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</si>
  <si>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</si>
  <si>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</si>
  <si>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</si>
  <si>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</si>
  <si>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</si>
  <si>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</si>
  <si>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</si>
  <si>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</si>
  <si>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</si>
  <si>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</si>
  <si>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</si>
  <si>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</si>
  <si>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</si>
  <si>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</si>
  <si>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</si>
  <si>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</si>
  <si>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</si>
  <si>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</si>
  <si>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</si>
  <si>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</si>
  <si>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</si>
  <si>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</si>
  <si>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</si>
  <si>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</si>
  <si>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</si>
  <si>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</si>
  <si>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</si>
  <si>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</si>
  <si>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</si>
  <si>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</si>
  <si>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</si>
  <si>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</si>
  <si>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</si>
  <si>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</si>
  <si>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</si>
  <si>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</si>
  <si>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</si>
  <si>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</si>
  <si>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</si>
  <si>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</si>
  <si>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</si>
  <si>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</si>
  <si>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</si>
  <si>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</si>
  <si>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</si>
  <si>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</si>
  <si>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</si>
  <si>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</si>
  <si>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</si>
  <si>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</si>
  <si>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</si>
  <si>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</si>
  <si>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</si>
  <si>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</si>
  <si>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</si>
  <si>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</si>
  <si>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</si>
  <si>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</si>
  <si>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</si>
  <si>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</si>
  <si>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</si>
  <si>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</si>
  <si>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</si>
  <si>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</si>
  <si>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</si>
  <si>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</si>
  <si>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</si>
  <si>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</si>
  <si>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</si>
  <si>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</si>
  <si>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</si>
  <si>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</si>
  <si>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</si>
  <si>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</si>
  <si>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</si>
  <si>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</si>
  <si>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</si>
  <si>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</si>
  <si>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</si>
  <si>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</si>
  <si>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</si>
  <si>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</si>
  <si>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</si>
  <si>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</si>
  <si>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</si>
  <si>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</si>
  <si>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</si>
  <si>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</si>
  <si>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</si>
  <si>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</si>
  <si>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</si>
  <si>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</si>
  <si>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</si>
  <si>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</si>
  <si>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</si>
  <si>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</si>
  <si>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</si>
  <si>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</si>
  <si>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</si>
  <si>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</si>
  <si>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</si>
  <si>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</si>
  <si>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</si>
  <si>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</si>
  <si>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</si>
  <si>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</si>
  <si>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</si>
  <si>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</si>
  <si>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</si>
  <si>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</si>
  <si>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</si>
  <si>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</si>
  <si>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</si>
  <si>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</si>
  <si>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</si>
  <si>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</si>
  <si>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</si>
  <si>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</si>
  <si>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</si>
  <si>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</si>
  <si>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</si>
  <si>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</si>
  <si>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</si>
  <si>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</si>
  <si>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</si>
  <si>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</si>
  <si>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</si>
  <si>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</si>
  <si>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</si>
  <si>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</si>
  <si>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</si>
  <si>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</si>
  <si>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</si>
  <si>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</si>
  <si>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</si>
  <si>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</si>
  <si>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</si>
  <si>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</si>
  <si>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</si>
  <si>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</si>
  <si>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</si>
  <si>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</si>
  <si>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</si>
  <si>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</si>
  <si>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</si>
  <si>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</si>
  <si>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</si>
  <si>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</si>
  <si>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</si>
  <si>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</si>
  <si>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</si>
  <si>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</si>
  <si>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</si>
  <si>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</si>
  <si>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</si>
  <si>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</si>
  <si>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</si>
  <si>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</si>
  <si>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</si>
  <si>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</si>
  <si>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</si>
  <si>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</si>
  <si>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</si>
  <si>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</si>
  <si>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</si>
  <si>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</si>
  <si>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</si>
  <si>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</si>
  <si>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</si>
  <si>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</si>
  <si>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</si>
  <si>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</si>
  <si>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</si>
  <si>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</si>
  <si>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</si>
  <si>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</si>
  <si>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</si>
  <si>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</si>
  <si>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</si>
  <si>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</si>
  <si>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</si>
  <si>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</si>
  <si>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</si>
  <si>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</si>
  <si>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</si>
  <si>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</si>
  <si>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</si>
  <si>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</si>
  <si>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</si>
  <si>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</si>
  <si>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</si>
  <si>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</si>
  <si>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</si>
  <si>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</si>
  <si>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</si>
  <si>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</si>
  <si>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</si>
  <si>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</si>
  <si>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</si>
  <si>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</si>
  <si>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</si>
  <si>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</si>
  <si>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</si>
  <si>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</si>
  <si>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</si>
  <si>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</si>
  <si>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</si>
  <si>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</si>
  <si>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</si>
  <si>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</si>
  <si>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</si>
  <si>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</si>
  <si>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</si>
  <si>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</si>
  <si>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</si>
  <si>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</si>
  <si>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</si>
  <si>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</si>
  <si>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</si>
  <si>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</si>
  <si>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</si>
  <si>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</si>
  <si>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</si>
  <si>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</si>
  <si>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</si>
  <si>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</si>
  <si>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</si>
  <si>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</si>
  <si>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</si>
  <si>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</si>
  <si>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</si>
  <si>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</si>
  <si>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</si>
  <si>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</si>
  <si>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</si>
  <si>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</si>
  <si>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</si>
  <si>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</si>
  <si>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</si>
  <si>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</si>
  <si>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</si>
  <si>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</si>
  <si>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</si>
  <si>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</si>
  <si>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</si>
  <si>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</si>
  <si>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</si>
  <si>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</si>
  <si>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</si>
  <si>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</si>
  <si>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</si>
  <si>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</si>
  <si>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</si>
  <si>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</si>
  <si>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</si>
  <si>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</si>
  <si>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</si>
  <si>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</si>
  <si>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</si>
  <si>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</si>
  <si>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</si>
  <si>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</si>
  <si>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</si>
  <si>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</si>
  <si>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</si>
  <si>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</si>
  <si>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</si>
  <si>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</si>
  <si>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</si>
  <si>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</si>
  <si>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</si>
  <si>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</si>
  <si>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</si>
  <si>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</si>
  <si>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</si>
  <si>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</si>
  <si>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</si>
  <si>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</si>
  <si>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</si>
  <si>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</si>
  <si>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</si>
  <si>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</si>
  <si>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</si>
  <si>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</si>
  <si>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</si>
  <si>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</si>
  <si>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</si>
  <si>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</si>
  <si>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</si>
  <si>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</si>
  <si>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</si>
  <si>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</si>
  <si>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</si>
  <si>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</si>
  <si>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</si>
  <si>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</si>
  <si>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</si>
  <si>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</si>
  <si>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</si>
  <si>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</si>
  <si>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</si>
  <si>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</si>
  <si>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</si>
  <si>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</si>
  <si>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</si>
  <si>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</si>
  <si>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</si>
  <si>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</si>
  <si>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</si>
  <si>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</si>
  <si>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</si>
  <si>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</si>
  <si>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</si>
  <si>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</si>
  <si>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</si>
  <si>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</si>
  <si>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</si>
  <si>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</si>
  <si>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</si>
  <si>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</si>
  <si>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</si>
  <si>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</si>
  <si>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</si>
  <si>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</si>
  <si>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</si>
  <si>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</si>
  <si>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</si>
  <si>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</si>
  <si>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</si>
  <si>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</si>
  <si>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</si>
  <si>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</si>
  <si>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</si>
  <si>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</si>
  <si>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</si>
  <si>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</si>
  <si>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</si>
  <si>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</si>
  <si>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</si>
  <si>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</si>
  <si>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</si>
  <si>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</si>
  <si>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</si>
  <si>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</si>
  <si>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</si>
  <si>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</si>
  <si>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</si>
  <si>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</si>
  <si>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</si>
  <si>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</si>
  <si>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</si>
  <si>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</si>
  <si>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</si>
  <si>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</si>
  <si>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</si>
  <si>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</si>
  <si>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</si>
  <si>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</si>
  <si>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</si>
  <si>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</si>
  <si>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</si>
  <si>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</si>
  <si>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</si>
  <si>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</si>
  <si>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</si>
  <si>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</si>
  <si>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</si>
  <si>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</si>
  <si>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</si>
  <si>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</si>
  <si>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</si>
  <si>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</si>
  <si>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</si>
  <si>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</si>
  <si>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</si>
  <si>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</si>
  <si>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</si>
  <si>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</si>
  <si>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</si>
  <si>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</si>
  <si>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</si>
  <si>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</si>
  <si>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</si>
  <si>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</si>
  <si>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</si>
  <si>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</si>
  <si>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</si>
  <si>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</si>
  <si>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</si>
  <si>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</si>
  <si>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</si>
  <si>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</si>
  <si>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</si>
  <si>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</si>
  <si>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</si>
  <si>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</si>
  <si>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</si>
  <si>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</si>
  <si>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</si>
  <si>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</si>
  <si>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</si>
  <si>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</si>
  <si>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</si>
  <si>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</si>
  <si>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</si>
  <si>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</si>
  <si>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</si>
  <si>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</si>
  <si>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</si>
  <si>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</si>
  <si>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</si>
  <si>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</si>
  <si>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</si>
  <si>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</si>
  <si>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</si>
  <si>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</si>
  <si>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</si>
  <si>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</si>
  <si>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</si>
  <si>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</si>
  <si>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</si>
  <si>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</si>
  <si>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</si>
  <si>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</si>
  <si>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</si>
  <si>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</si>
  <si>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</si>
  <si>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</si>
  <si>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</si>
  <si>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</si>
  <si>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</si>
  <si>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</si>
  <si>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</si>
  <si>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</si>
  <si>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</si>
  <si>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</si>
  <si>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</si>
  <si>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</si>
  <si>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</si>
  <si>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</si>
  <si>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</si>
  <si>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</si>
  <si>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</si>
  <si>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</si>
  <si>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</si>
  <si>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</si>
  <si>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</si>
  <si>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</si>
  <si>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</si>
  <si>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</si>
  <si>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</si>
  <si>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</si>
  <si>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</si>
  <si>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</si>
  <si>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</si>
  <si>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</si>
  <si>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</si>
  <si>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</si>
  <si>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</si>
  <si>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</si>
  <si>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</si>
  <si>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</si>
  <si>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</si>
  <si>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</si>
  <si>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</si>
  <si>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</si>
  <si>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</si>
  <si>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</si>
  <si>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</si>
  <si>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</si>
  <si>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</si>
  <si>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</si>
  <si>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</si>
  <si>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</si>
  <si>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</si>
  <si>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</si>
  <si>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</si>
  <si>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</si>
  <si>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</si>
  <si>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</si>
  <si>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</si>
  <si>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</si>
  <si>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</si>
  <si>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</si>
  <si>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</si>
  <si>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</si>
  <si>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</si>
  <si>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</si>
  <si>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</si>
  <si>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</si>
  <si>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</si>
  <si>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</si>
  <si>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</si>
  <si>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</si>
  <si>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</si>
  <si>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</si>
  <si>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</si>
  <si>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</si>
  <si>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</si>
  <si>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</si>
  <si>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</si>
  <si>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</si>
  <si>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</si>
  <si>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</si>
  <si>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</si>
  <si>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</si>
  <si>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</si>
  <si>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</si>
  <si>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</si>
  <si>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</si>
  <si>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</si>
  <si>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</si>
  <si>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</si>
  <si>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</si>
  <si>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</si>
  <si>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</si>
  <si>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</si>
  <si>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</si>
  <si>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</si>
  <si>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</si>
  <si>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</si>
  <si>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</si>
  <si>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</si>
  <si>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</si>
  <si>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</si>
  <si>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</si>
  <si>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</si>
  <si>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</si>
  <si>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</si>
  <si>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</si>
  <si>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</si>
  <si>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</si>
  <si>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</si>
  <si>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</si>
  <si>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</si>
  <si>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</si>
  <si>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</si>
  <si>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</si>
  <si>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</si>
  <si>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</si>
  <si>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</si>
  <si>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</si>
  <si>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</si>
  <si>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</si>
  <si>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</si>
  <si>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</si>
  <si>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</si>
  <si>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</si>
  <si>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</si>
  <si>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</si>
  <si>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</si>
  <si>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</si>
  <si>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</si>
  <si>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</si>
  <si>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</si>
  <si>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</si>
  <si>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</si>
  <si>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</si>
  <si>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</si>
  <si>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</si>
  <si>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</si>
  <si>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</si>
  <si>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</si>
  <si>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</si>
  <si>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</si>
  <si>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</si>
  <si>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</si>
  <si>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</si>
  <si>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</si>
  <si>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</si>
  <si>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</si>
  <si>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</si>
  <si>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</si>
  <si>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</si>
  <si>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</si>
  <si>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</si>
  <si>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</si>
  <si>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</si>
  <si>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</si>
  <si>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</si>
  <si>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</si>
  <si>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</si>
  <si>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</si>
  <si>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</si>
  <si>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</si>
  <si>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</si>
  <si>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</si>
  <si>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</si>
  <si>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</si>
  <si>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</si>
  <si>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</si>
  <si>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</si>
  <si>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</si>
  <si>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</si>
  <si>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</si>
  <si>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</si>
  <si>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</si>
  <si>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</si>
  <si>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</si>
  <si>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</si>
  <si>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</si>
  <si>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</si>
  <si>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</si>
  <si>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</si>
  <si>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</si>
  <si>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</si>
  <si>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</si>
  <si>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</si>
  <si>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</si>
  <si>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</si>
  <si>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</si>
  <si>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</si>
  <si>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</si>
  <si>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</si>
  <si>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</si>
  <si>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</si>
  <si>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</si>
  <si>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</si>
  <si>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</si>
  <si>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</si>
  <si>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</si>
  <si>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</si>
  <si>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</si>
  <si>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</si>
  <si>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</si>
  <si>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</si>
  <si>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</si>
  <si>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</si>
  <si>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</si>
  <si>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</si>
  <si>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</si>
  <si>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</si>
  <si>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</si>
  <si>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</si>
  <si>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</si>
  <si>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</si>
  <si>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</si>
  <si>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</si>
  <si>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</si>
  <si>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</si>
  <si>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</si>
  <si>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</si>
  <si>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</si>
  <si>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</si>
  <si>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</si>
  <si>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</si>
  <si>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</si>
  <si>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</si>
  <si>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</si>
  <si>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</si>
  <si>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</si>
  <si>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</si>
  <si>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</si>
  <si>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</si>
  <si>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</si>
  <si>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</si>
  <si>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</si>
  <si>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</si>
  <si>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</si>
  <si>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</si>
  <si>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</si>
  <si>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</si>
  <si>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</si>
  <si>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</si>
  <si>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</si>
  <si>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</si>
  <si>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</si>
  <si>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</si>
  <si>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</si>
  <si>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</si>
  <si>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</si>
  <si>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</si>
  <si>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</si>
  <si>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</si>
  <si>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</si>
  <si>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</si>
  <si>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</si>
  <si>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</si>
  <si>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</si>
  <si>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</si>
  <si>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</si>
  <si>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</si>
  <si>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</si>
  <si>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</si>
  <si>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</si>
  <si>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</si>
  <si>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</si>
  <si>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</si>
  <si>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</si>
  <si>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</si>
  <si>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</si>
  <si>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</si>
  <si>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</si>
  <si>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</si>
  <si>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</si>
  <si>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</si>
  <si>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</si>
  <si>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</si>
  <si>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</si>
  <si>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</si>
  <si>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</si>
  <si>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</si>
  <si>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</si>
  <si>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</si>
  <si>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</si>
  <si>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</si>
  <si>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</si>
  <si>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</si>
  <si>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</si>
  <si>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</si>
  <si>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</si>
  <si>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</si>
  <si>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</si>
  <si>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</si>
  <si>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</si>
  <si>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</si>
  <si>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</si>
  <si>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</si>
  <si>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</si>
  <si>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</si>
  <si>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</si>
  <si>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</si>
  <si>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</si>
  <si>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</si>
  <si>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</si>
  <si>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</si>
  <si>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</si>
  <si>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</si>
  <si>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</si>
  <si>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</si>
  <si>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</si>
  <si>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</si>
  <si>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</si>
  <si>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</si>
  <si>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</si>
  <si>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</si>
  <si>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</si>
  <si>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</si>
  <si>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</si>
  <si>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</si>
  <si>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</si>
  <si>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</si>
  <si>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</si>
  <si>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</si>
  <si>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</si>
  <si>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</si>
  <si>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</si>
  <si>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</si>
  <si>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</si>
  <si>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</si>
  <si>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</si>
  <si>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</si>
  <si>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</si>
  <si>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</si>
  <si>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</si>
  <si>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</si>
  <si>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</si>
  <si>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</si>
  <si>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</si>
  <si>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</si>
  <si>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</si>
  <si>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</si>
  <si>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</si>
  <si>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</si>
  <si>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</si>
  <si>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</si>
  <si>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</si>
  <si>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</si>
  <si>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</si>
  <si>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</si>
  <si>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</si>
  <si>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</si>
  <si>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</si>
  <si>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</si>
  <si>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</si>
  <si>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</si>
  <si>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</si>
  <si>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</si>
  <si>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</si>
  <si>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</si>
  <si>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</si>
  <si>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</si>
  <si>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</si>
  <si>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</si>
  <si>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</si>
  <si>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</si>
  <si>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</si>
  <si>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</si>
  <si>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</si>
  <si>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</si>
  <si>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</si>
  <si>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</si>
  <si>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</si>
  <si>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</si>
  <si>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</si>
  <si>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</si>
  <si>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</si>
  <si>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</si>
  <si>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</si>
  <si>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</si>
  <si>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</si>
  <si>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</si>
  <si>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</si>
  <si>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</si>
  <si>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</si>
  <si>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</si>
  <si>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</si>
  <si>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</si>
  <si>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</si>
  <si>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</si>
  <si>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</si>
  <si>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</si>
  <si>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</si>
  <si>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</si>
  <si>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</si>
  <si>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</si>
  <si>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</si>
  <si>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</si>
  <si>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</si>
  <si>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</si>
  <si>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</si>
  <si>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</si>
  <si>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</si>
  <si>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</si>
  <si>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</si>
  <si>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</si>
  <si>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</si>
  <si>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</si>
  <si>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</si>
  <si>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</si>
  <si>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</si>
  <si>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</si>
  <si>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</si>
  <si>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</si>
  <si>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</si>
  <si>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</si>
  <si>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</si>
  <si>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</si>
  <si>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</si>
  <si>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</si>
  <si>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</si>
  <si>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</si>
  <si>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</si>
  <si>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</si>
  <si>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</si>
  <si>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</si>
  <si>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</si>
  <si>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</si>
  <si>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</si>
  <si>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</si>
  <si>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</si>
  <si>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</si>
  <si>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</si>
  <si>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</si>
  <si>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</si>
  <si>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</si>
  <si>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</si>
  <si>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</si>
  <si>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</si>
  <si>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</si>
  <si>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</si>
  <si>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</si>
  <si>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</si>
  <si>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</si>
  <si>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</si>
  <si>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</si>
  <si>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</si>
  <si>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</si>
  <si>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</si>
  <si>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</si>
  <si>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</si>
  <si>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</si>
  <si>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</si>
  <si>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</si>
  <si>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</si>
  <si>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</si>
  <si>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</si>
  <si>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</si>
  <si>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</si>
  <si>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</si>
  <si>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</si>
  <si>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</si>
  <si>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</si>
  <si>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</si>
  <si>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</si>
  <si>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</si>
  <si>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</si>
  <si>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</si>
  <si>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</si>
  <si>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</si>
  <si>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</si>
  <si>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</si>
  <si>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</si>
  <si>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</si>
  <si>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</si>
  <si>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</si>
  <si>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</si>
  <si>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</si>
  <si>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</si>
  <si>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</si>
  <si>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</si>
  <si>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</si>
  <si>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</si>
  <si>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</si>
  <si>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</si>
  <si>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</si>
  <si>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</si>
  <si>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</si>
  <si>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</si>
  <si>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</si>
  <si>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</si>
  <si>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</si>
  <si>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</si>
  <si>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</si>
  <si>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</si>
  <si>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</si>
  <si>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</si>
  <si>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</si>
  <si>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</si>
  <si>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</si>
  <si>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</si>
  <si>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</si>
  <si>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</si>
  <si>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</si>
  <si>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</si>
  <si>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</si>
  <si>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</si>
  <si>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</si>
  <si>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</si>
  <si>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</si>
  <si>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</si>
  <si>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</si>
  <si>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</si>
  <si>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</si>
  <si>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</si>
  <si>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</si>
  <si>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</si>
  <si>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</si>
  <si>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</si>
  <si>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</si>
  <si>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</si>
  <si>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</si>
  <si>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</si>
  <si>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</si>
  <si>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</si>
  <si>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</si>
  <si>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</si>
  <si>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</si>
  <si>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</si>
  <si>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</si>
  <si>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</si>
  <si>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</si>
  <si>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</si>
  <si>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</si>
  <si>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</si>
  <si>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</si>
  <si>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</si>
  <si>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</si>
  <si>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</si>
  <si>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</si>
  <si>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</si>
  <si>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</si>
  <si>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</si>
  <si>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</si>
  <si>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</si>
  <si>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</si>
  <si>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</si>
  <si>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</si>
  <si>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</si>
  <si>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</si>
  <si>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</si>
  <si>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</si>
  <si>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</si>
  <si>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</si>
  <si>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</si>
  <si>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</si>
  <si>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</si>
  <si>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</si>
  <si>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</si>
  <si>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</si>
  <si>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</si>
  <si>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</si>
  <si>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</si>
  <si>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</si>
  <si>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</si>
  <si>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</si>
  <si>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</si>
  <si>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</si>
  <si>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</si>
  <si>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</si>
  <si>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</si>
  <si>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</si>
  <si>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</si>
  <si>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</si>
  <si>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</si>
  <si>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</si>
  <si>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</si>
  <si>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</si>
  <si>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</si>
  <si>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</si>
  <si>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</si>
  <si>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</si>
  <si>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</si>
  <si>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</si>
  <si>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</si>
  <si>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</si>
  <si>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</si>
  <si>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</si>
  <si>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</si>
  <si>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</si>
  <si>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</si>
  <si>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</si>
  <si>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</si>
  <si>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</si>
  <si>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</si>
  <si>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</si>
  <si>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</si>
  <si>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</si>
  <si>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</si>
  <si>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</si>
  <si>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</si>
  <si>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</si>
  <si>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</si>
  <si>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</si>
  <si>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</si>
  <si>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</si>
  <si>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</si>
  <si>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</si>
  <si>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</si>
  <si>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</si>
  <si>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</si>
  <si>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</si>
  <si>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</si>
  <si>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</si>
  <si>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</si>
  <si>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</si>
  <si>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</si>
  <si>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</si>
  <si>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</si>
  <si>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</si>
  <si>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</si>
  <si>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</si>
  <si>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</si>
  <si>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</si>
  <si>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</si>
  <si>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</si>
  <si>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</si>
  <si>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</si>
  <si>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</si>
  <si>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</si>
  <si>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</si>
  <si>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</si>
  <si>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</si>
  <si>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</si>
  <si>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</si>
  <si>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</si>
  <si>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</si>
  <si>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</si>
  <si>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</si>
  <si>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</si>
  <si>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</si>
  <si>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</si>
  <si>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</si>
  <si>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</si>
  <si>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</si>
  <si>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</si>
  <si>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</si>
  <si>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</si>
  <si>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</si>
  <si>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</si>
  <si>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</si>
  <si>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</si>
  <si>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</si>
  <si>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</si>
  <si>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</si>
  <si>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</si>
  <si>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</si>
  <si>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</si>
  <si>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</si>
  <si>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</si>
  <si>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</si>
  <si>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</si>
  <si>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</si>
  <si>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</si>
  <si>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</si>
  <si>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</si>
  <si>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</si>
  <si>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</si>
  <si>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</si>
  <si>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</si>
  <si>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</si>
  <si>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</si>
  <si>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</si>
  <si>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</si>
  <si>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</si>
  <si>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</si>
  <si>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</si>
  <si>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</si>
  <si>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</si>
  <si>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</si>
  <si>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</si>
  <si>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</si>
  <si>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</si>
  <si>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</si>
  <si>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</si>
  <si>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</si>
  <si>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</si>
  <si>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</si>
  <si>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</si>
  <si>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</si>
  <si>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</si>
  <si>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</si>
  <si>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</si>
  <si>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</si>
  <si>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</si>
  <si>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</si>
  <si>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</si>
  <si>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</si>
  <si>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</si>
  <si>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</si>
  <si>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</si>
  <si>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</si>
  <si>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</si>
  <si>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</si>
  <si>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</si>
  <si>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</si>
  <si>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</si>
  <si>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</si>
  <si>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</si>
  <si>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</si>
  <si>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</si>
  <si>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</si>
  <si>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</si>
  <si>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</si>
  <si>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</si>
  <si>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</si>
  <si>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</si>
  <si>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</si>
  <si>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</si>
  <si>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</si>
  <si>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</si>
  <si>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</si>
  <si>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</si>
  <si>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</si>
  <si>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</si>
  <si>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</si>
  <si>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</si>
  <si>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</si>
  <si>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</si>
  <si>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</si>
  <si>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</si>
  <si>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</si>
  <si>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</si>
  <si>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</si>
  <si>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</si>
  <si>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</si>
  <si>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</si>
  <si>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</si>
  <si>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</si>
  <si>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</si>
  <si>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</si>
  <si>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</si>
  <si>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</si>
  <si>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</si>
  <si>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</si>
  <si>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</si>
  <si>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</si>
  <si>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</si>
  <si>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</si>
  <si>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</si>
  <si>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</si>
  <si>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</si>
  <si>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</si>
  <si>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</si>
  <si>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</si>
  <si>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</si>
  <si>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</si>
  <si>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</si>
  <si>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</si>
  <si>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</si>
  <si>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</si>
  <si>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</si>
  <si>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</si>
  <si>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</si>
  <si>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</si>
  <si>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</si>
  <si>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</si>
  <si>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</si>
  <si>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</si>
  <si>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</si>
  <si>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</si>
  <si>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</si>
  <si>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</si>
  <si>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</si>
  <si>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</si>
  <si>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</si>
  <si>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</si>
  <si>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</si>
  <si>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</si>
  <si>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</si>
  <si>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</si>
  <si>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</si>
  <si>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</si>
  <si>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</si>
  <si>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</si>
  <si>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</si>
  <si>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</si>
  <si>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</si>
  <si>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</si>
  <si>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</si>
  <si>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</si>
  <si>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</si>
  <si>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</si>
  <si>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</si>
  <si>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</si>
  <si>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</si>
  <si>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</si>
  <si>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</si>
  <si>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</si>
  <si>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</si>
  <si>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</si>
  <si>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</si>
  <si>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</si>
  <si>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</si>
  <si>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</si>
  <si>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</si>
  <si>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</si>
  <si>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</si>
  <si>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</si>
  <si>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</si>
  <si>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</si>
  <si>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</si>
  <si>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</si>
  <si>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</si>
  <si>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</si>
  <si>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</si>
  <si>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</si>
  <si>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</si>
  <si>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</si>
  <si>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</si>
  <si>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</si>
  <si>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</si>
  <si>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</si>
  <si>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</si>
  <si>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</si>
  <si>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</si>
  <si>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</si>
  <si>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</si>
  <si>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</si>
  <si>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</si>
  <si>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</si>
  <si>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</si>
  <si>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</si>
  <si>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</si>
  <si>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</si>
  <si>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</si>
  <si>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</si>
  <si>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</si>
  <si>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</si>
  <si>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</si>
  <si>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</si>
  <si>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</si>
  <si>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</si>
  <si>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</si>
  <si>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</si>
  <si>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</si>
  <si>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</si>
  <si>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</si>
  <si>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</si>
  <si>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</si>
  <si>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</si>
  <si>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</si>
  <si>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</si>
  <si>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</si>
  <si>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</si>
  <si>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</si>
  <si>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</si>
  <si>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</si>
  <si>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</si>
  <si>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</si>
  <si>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</si>
  <si>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</si>
  <si>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</si>
  <si>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</si>
  <si>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</si>
  <si>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</si>
  <si>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</si>
  <si>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</si>
  <si>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</si>
  <si>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</si>
  <si>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</si>
  <si>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</si>
  <si>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</si>
  <si>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</si>
  <si>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</si>
  <si>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</si>
  <si>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</si>
  <si>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</si>
  <si>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</si>
  <si>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</si>
  <si>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</si>
  <si>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</si>
  <si>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</si>
  <si>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</si>
  <si>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</si>
  <si>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</si>
  <si>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</si>
  <si>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</si>
  <si>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</si>
  <si>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</si>
  <si>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</si>
  <si>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</si>
  <si>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</si>
  <si>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</si>
  <si>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</si>
  <si>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</si>
  <si>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</si>
  <si>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</si>
  <si>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</si>
  <si>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</si>
  <si>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</si>
  <si>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</si>
  <si>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</si>
  <si>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</si>
  <si>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</si>
  <si>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</si>
  <si>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</si>
  <si>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</si>
  <si>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</si>
  <si>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</si>
  <si>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</si>
  <si>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</si>
  <si>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</si>
  <si>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</si>
  <si>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</si>
  <si>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</si>
  <si>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</si>
  <si>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</si>
  <si>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</si>
  <si>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</si>
  <si>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</si>
  <si>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</si>
  <si>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</si>
  <si>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</si>
  <si>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</si>
  <si>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</si>
  <si>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</si>
  <si>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</si>
  <si>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</si>
  <si>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</si>
  <si>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</si>
  <si>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</si>
  <si>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</si>
  <si>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</si>
  <si>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</si>
  <si>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</si>
  <si>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</si>
  <si>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</si>
  <si>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</si>
  <si>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</si>
  <si>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</si>
  <si>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</si>
  <si>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</si>
  <si>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</si>
  <si>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</si>
  <si>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</si>
  <si>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</si>
  <si>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</si>
  <si>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</si>
  <si>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</si>
  <si>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</si>
  <si>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</si>
  <si>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</si>
  <si>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</si>
  <si>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</si>
  <si>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</si>
  <si>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</si>
  <si>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</si>
  <si>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</si>
  <si>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</si>
  <si>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</si>
  <si>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</si>
  <si>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</si>
  <si>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</si>
  <si>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</si>
  <si>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</si>
  <si>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</si>
  <si>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</si>
  <si>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</si>
  <si>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</si>
  <si>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</si>
  <si>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</si>
  <si>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</si>
  <si>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</si>
  <si>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</si>
  <si>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</si>
  <si>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</si>
  <si>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</si>
  <si>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</si>
  <si>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</si>
  <si>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</si>
  <si>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</si>
  <si>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</si>
  <si>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</si>
  <si>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</si>
  <si>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</si>
  <si>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</si>
  <si>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</si>
  <si>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</si>
  <si>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</si>
  <si>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</si>
  <si>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</si>
  <si>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</si>
  <si>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</si>
  <si>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</si>
  <si>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</si>
  <si>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</si>
  <si>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</si>
  <si>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</si>
  <si>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</si>
  <si>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</si>
  <si>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</si>
  <si>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</si>
  <si>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</si>
  <si>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</si>
  <si>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</si>
  <si>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</si>
  <si>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</si>
  <si>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</si>
  <si>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</si>
  <si>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</si>
  <si>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</si>
  <si>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</si>
  <si>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</si>
  <si>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</si>
  <si>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</si>
  <si>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</si>
  <si>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</si>
  <si>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</si>
  <si>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</si>
  <si>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</si>
  <si>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</si>
  <si>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</si>
  <si>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</si>
  <si>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</si>
  <si>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</si>
  <si>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</si>
  <si>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</si>
  <si>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</si>
  <si>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</si>
  <si>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</si>
  <si>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</si>
  <si>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</si>
  <si>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</si>
  <si>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</si>
  <si>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</si>
  <si>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</si>
  <si>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</si>
  <si>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</si>
  <si>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</si>
  <si>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</si>
  <si>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</si>
  <si>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</si>
  <si>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</si>
  <si>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</si>
  <si>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</si>
  <si>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</si>
  <si>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</si>
  <si>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</si>
  <si>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</si>
  <si>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</si>
  <si>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</si>
  <si>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</si>
  <si>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</si>
  <si>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</si>
  <si>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</si>
  <si>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</si>
  <si>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</si>
  <si>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</si>
  <si>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</si>
  <si>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</si>
  <si>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</si>
  <si>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</si>
  <si>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</si>
  <si>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</si>
  <si>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</si>
  <si>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</si>
  <si>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</si>
  <si>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</si>
  <si>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</si>
  <si>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</si>
  <si>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</si>
  <si>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</si>
  <si>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</si>
  <si>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</si>
  <si>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</si>
  <si>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</si>
  <si>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</si>
  <si>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</si>
  <si>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</si>
  <si>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</si>
  <si>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</si>
  <si>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</si>
  <si>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</si>
  <si>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</si>
  <si>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</si>
  <si>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</si>
  <si>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</si>
  <si>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</si>
  <si>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</si>
  <si>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</si>
  <si>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</si>
  <si>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</si>
  <si>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</si>
  <si>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</si>
  <si>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</si>
  <si>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</si>
  <si>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</si>
  <si>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</si>
  <si>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</si>
  <si>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</si>
  <si>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</si>
  <si>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</si>
  <si>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</si>
  <si>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</si>
  <si>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</si>
  <si>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</si>
  <si>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</si>
  <si>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</si>
  <si>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</si>
  <si>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</si>
  <si>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</si>
  <si>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</si>
  <si>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</si>
  <si>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</si>
  <si>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</si>
  <si>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</si>
  <si>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</si>
  <si>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</si>
  <si>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</si>
  <si>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</si>
  <si>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</si>
  <si>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</si>
  <si>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</si>
  <si>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</si>
  <si>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</si>
  <si>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</si>
  <si>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</si>
  <si>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</si>
  <si>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</si>
  <si>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</si>
  <si>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</si>
  <si>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</si>
  <si>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</si>
  <si>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</si>
  <si>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</si>
  <si>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</si>
  <si>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</si>
  <si>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</si>
  <si>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</si>
  <si>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</si>
  <si>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</si>
  <si>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</si>
  <si>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</si>
  <si>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</si>
  <si>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</si>
  <si>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</si>
  <si>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</si>
  <si>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</si>
  <si>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</si>
  <si>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</si>
  <si>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</si>
  <si>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</si>
  <si>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</si>
  <si>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</si>
  <si>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</si>
  <si>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</si>
  <si>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</si>
  <si>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</si>
  <si>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</si>
  <si>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</si>
  <si>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</si>
  <si>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</si>
  <si>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</si>
  <si>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</si>
  <si>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</si>
  <si>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</si>
  <si>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</si>
  <si>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</si>
  <si>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</si>
  <si>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</si>
  <si>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</si>
  <si>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</si>
  <si>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</si>
  <si>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</si>
  <si>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</si>
  <si>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</si>
  <si>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</si>
  <si>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</si>
  <si>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</si>
  <si>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</si>
  <si>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</si>
  <si>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</si>
  <si>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</si>
  <si>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</si>
  <si>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</si>
  <si>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</si>
  <si>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</si>
  <si>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</si>
  <si>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</si>
  <si>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</si>
  <si>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</si>
  <si>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</si>
  <si>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</si>
  <si>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</si>
  <si>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</si>
  <si>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</si>
  <si>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</si>
  <si>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</si>
  <si>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</si>
  <si>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</si>
  <si>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</si>
  <si>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</si>
  <si>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</si>
  <si>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</si>
  <si>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</si>
  <si>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</si>
  <si>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</si>
  <si>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</si>
  <si>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</si>
  <si>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</si>
  <si>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</si>
  <si>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</si>
  <si>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</si>
  <si>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</si>
  <si>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</si>
  <si>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</si>
  <si>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</si>
  <si>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</si>
  <si>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</si>
  <si>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</si>
  <si>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</si>
  <si>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</si>
  <si>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</si>
  <si>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</si>
  <si>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</si>
  <si>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</si>
  <si>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</si>
  <si>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</si>
  <si>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</si>
  <si>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</si>
  <si>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</si>
  <si>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</si>
  <si>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</si>
  <si>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</si>
  <si>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</si>
  <si>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</si>
  <si>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</si>
  <si>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</si>
  <si>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</si>
  <si>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</si>
  <si>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</si>
  <si>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</si>
  <si>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</si>
  <si>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</si>
  <si>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</si>
  <si>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</si>
  <si>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</si>
  <si>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</si>
  <si>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</si>
  <si>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</si>
  <si>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</si>
  <si>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</si>
  <si>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</si>
  <si>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</si>
  <si>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</si>
  <si>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</si>
  <si>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</si>
  <si>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</si>
  <si>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</si>
  <si>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</si>
  <si>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</si>
  <si>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</si>
  <si>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</si>
  <si>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</si>
  <si>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</si>
  <si>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</si>
  <si>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</si>
  <si>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</si>
  <si>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</si>
  <si>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</si>
  <si>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</si>
  <si>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</si>
  <si>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</si>
  <si>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</si>
  <si>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</si>
  <si>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</si>
  <si>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</si>
  <si>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</si>
  <si>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</si>
  <si>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</si>
  <si>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</si>
  <si>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</si>
  <si>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</si>
  <si>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</si>
  <si>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</si>
  <si>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</si>
  <si>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</si>
  <si>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</si>
  <si>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</si>
  <si>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</si>
  <si>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</si>
  <si>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</si>
  <si>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</si>
  <si>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</si>
  <si>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</si>
  <si>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</si>
  <si>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</si>
  <si>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</si>
  <si>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</si>
  <si>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</si>
  <si>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</si>
  <si>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</si>
  <si>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</si>
  <si>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</si>
  <si>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</si>
  <si>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</si>
  <si>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</si>
  <si>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</si>
  <si>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</si>
  <si>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</si>
  <si>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</si>
  <si>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</si>
  <si>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</si>
  <si>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</si>
  <si>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</si>
  <si>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</si>
  <si>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</si>
  <si>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</si>
  <si>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</si>
  <si>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</si>
  <si>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</si>
  <si>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</si>
  <si>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</si>
  <si>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</si>
  <si>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</si>
  <si>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</si>
  <si>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</si>
  <si>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</si>
  <si>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</si>
  <si>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</si>
  <si>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</si>
  <si>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</si>
  <si>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</si>
  <si>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</si>
  <si>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</si>
  <si>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</si>
  <si>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</si>
  <si>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</si>
  <si>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</si>
  <si>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</si>
  <si>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</si>
  <si>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</si>
  <si>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</si>
  <si>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</si>
  <si>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</si>
  <si>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</si>
  <si>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</si>
  <si>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</si>
  <si>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</si>
  <si>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</si>
  <si>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</si>
  <si>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</si>
  <si>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</si>
  <si>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</si>
  <si>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</si>
  <si>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</si>
  <si>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</si>
  <si>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</si>
  <si>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</si>
  <si>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</si>
  <si>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</si>
  <si>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</si>
  <si>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</si>
  <si>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</si>
  <si>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</si>
  <si>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</si>
  <si>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</si>
  <si>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</si>
  <si>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</si>
  <si>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</si>
  <si>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</si>
  <si>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</si>
  <si>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</si>
  <si>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</si>
  <si>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</si>
  <si>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</si>
  <si>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</si>
  <si>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</si>
  <si>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</si>
  <si>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</si>
  <si>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</si>
  <si>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</si>
  <si>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</si>
  <si>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</si>
  <si>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</si>
  <si>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</si>
  <si>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</si>
  <si>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</si>
  <si>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</si>
  <si>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</si>
  <si>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</si>
  <si>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</si>
  <si>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</si>
  <si>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</si>
  <si>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</si>
  <si>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</si>
  <si>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</si>
  <si>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</si>
  <si>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</si>
  <si>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</si>
  <si>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</si>
  <si>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</si>
  <si>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</si>
  <si>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</si>
  <si>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</si>
  <si>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</si>
  <si>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</si>
  <si>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</si>
  <si>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</si>
  <si>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</si>
  <si>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</si>
  <si>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</si>
  <si>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</si>
  <si>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</si>
  <si>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</si>
  <si>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</si>
  <si>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</si>
  <si>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</si>
  <si>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</si>
  <si>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</si>
  <si>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</si>
  <si>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</si>
  <si>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</si>
  <si>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</si>
  <si>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</si>
  <si>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</si>
  <si>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</si>
  <si>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</si>
  <si>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</si>
  <si>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</si>
  <si>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</si>
  <si>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</si>
  <si>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</si>
  <si>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</si>
  <si>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</si>
  <si>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</si>
  <si>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</si>
  <si>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</si>
  <si>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</si>
  <si>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</si>
  <si>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</si>
  <si>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</si>
  <si>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</si>
  <si>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</si>
  <si>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</si>
  <si>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</si>
  <si>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</si>
  <si>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</si>
  <si>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</si>
  <si>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</si>
  <si>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</si>
  <si>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</si>
  <si>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</si>
  <si>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</si>
  <si>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</si>
  <si>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</si>
  <si>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</si>
  <si>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</si>
  <si>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</si>
  <si>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</si>
  <si>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</si>
  <si>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</si>
  <si>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</si>
  <si>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</si>
  <si>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</si>
  <si>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</si>
  <si>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</si>
  <si>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</si>
  <si>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</si>
  <si>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</si>
  <si>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</si>
  <si>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</si>
  <si>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</si>
  <si>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</si>
  <si>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</si>
  <si>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</si>
  <si>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</si>
  <si>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</si>
  <si>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</si>
  <si>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</si>
  <si>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</si>
  <si>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</si>
  <si>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</si>
  <si>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</si>
  <si>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</si>
  <si>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</si>
  <si>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</si>
  <si>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</si>
  <si>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</si>
  <si>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</si>
  <si>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</si>
  <si>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</si>
  <si>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</si>
  <si>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</si>
  <si>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</si>
  <si>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</si>
  <si>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</si>
  <si>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</si>
  <si>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</si>
  <si>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</si>
  <si>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</si>
  <si>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</si>
  <si>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</si>
  <si>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</si>
  <si>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</si>
  <si>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</si>
  <si>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</si>
  <si>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</si>
  <si>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</si>
  <si>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</si>
  <si>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</si>
  <si>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</si>
  <si>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</si>
  <si>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</si>
  <si>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</si>
  <si>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</si>
  <si>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</si>
  <si>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</si>
  <si>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</si>
  <si>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</si>
  <si>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</si>
  <si>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</si>
  <si>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</si>
  <si>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</si>
  <si>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</si>
  <si>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</si>
  <si>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</si>
  <si>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</si>
  <si>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</si>
  <si>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</si>
  <si>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</si>
  <si>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</si>
  <si>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</si>
  <si>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</si>
  <si>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</si>
  <si>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</si>
  <si>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</si>
  <si>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</si>
  <si>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</si>
  <si>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</si>
  <si>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</si>
  <si>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</si>
  <si>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</si>
  <si>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</si>
  <si>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</si>
  <si>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</si>
  <si>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</si>
  <si>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</si>
  <si>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</si>
  <si>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</si>
  <si>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</si>
  <si>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</si>
  <si>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</si>
  <si>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</si>
  <si>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</si>
  <si>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</si>
  <si>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</si>
  <si>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</si>
  <si>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</si>
  <si>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</si>
  <si>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</si>
  <si>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</si>
  <si>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</si>
  <si>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</si>
  <si>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</si>
  <si>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</si>
  <si>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</si>
  <si>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</si>
  <si>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</si>
  <si>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</si>
  <si>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</si>
  <si>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</si>
  <si>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</si>
  <si>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</si>
  <si>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</si>
  <si>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</si>
  <si>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</si>
  <si>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</si>
  <si>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</si>
  <si>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</si>
  <si>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</si>
  <si>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</si>
  <si>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</si>
  <si>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</si>
  <si>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</si>
  <si>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</si>
  <si>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</si>
  <si>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</si>
  <si>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</si>
  <si>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</si>
  <si>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</si>
  <si>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</si>
  <si>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</si>
  <si>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</si>
  <si>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</si>
  <si>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</si>
  <si>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</si>
  <si>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</si>
  <si>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</si>
  <si>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</si>
  <si>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</si>
  <si>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</si>
  <si>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</si>
  <si>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</si>
  <si>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</si>
  <si>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</si>
  <si>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</si>
  <si>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</si>
  <si>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</si>
  <si>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</si>
  <si>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</si>
  <si>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</si>
  <si>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</si>
  <si>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</si>
  <si>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</si>
  <si>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</si>
  <si>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</si>
  <si>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</si>
  <si>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</si>
  <si>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</si>
  <si>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</si>
  <si>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</si>
  <si>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</si>
  <si>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</si>
  <si>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</si>
  <si>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</si>
  <si>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</si>
  <si>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</si>
  <si>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</si>
  <si>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</si>
  <si>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</si>
  <si>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</si>
  <si>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</si>
  <si>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</si>
  <si>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</si>
  <si>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</si>
  <si>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</si>
  <si>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</si>
  <si>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</si>
  <si>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</si>
  <si>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</si>
  <si>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</si>
  <si>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</si>
  <si>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</si>
  <si>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</si>
  <si>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</si>
  <si>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</si>
  <si>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</si>
  <si>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</si>
  <si>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</si>
  <si>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</si>
  <si>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</si>
  <si>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</si>
  <si>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</si>
  <si>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</si>
  <si>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</si>
  <si>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</si>
  <si>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</si>
  <si>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</si>
  <si>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</si>
  <si>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</si>
  <si>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</si>
  <si>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</si>
  <si>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</si>
  <si>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</si>
  <si>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</si>
  <si>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</si>
  <si>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</si>
  <si>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</si>
  <si>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</si>
  <si>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</si>
  <si>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</si>
  <si>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</si>
  <si>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</si>
  <si>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</si>
  <si>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</si>
  <si>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</si>
  <si>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</si>
  <si>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</si>
  <si>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</si>
  <si>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</si>
  <si>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</si>
  <si>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</si>
  <si>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</si>
  <si>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</si>
  <si>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</si>
  <si>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</si>
  <si>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</si>
  <si>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</si>
  <si>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</si>
  <si>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</si>
  <si>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</si>
  <si>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</si>
  <si>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</si>
  <si>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</si>
  <si>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</si>
  <si>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</si>
  <si>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</si>
  <si>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</si>
  <si>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</si>
  <si>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</si>
  <si>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</si>
  <si>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</si>
  <si>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</si>
  <si>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</si>
  <si>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</si>
  <si>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</si>
  <si>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</si>
  <si>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</si>
  <si>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</si>
  <si>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</si>
  <si>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</si>
  <si>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</si>
  <si>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</si>
  <si>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</si>
  <si>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</si>
  <si>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</si>
  <si>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</si>
  <si>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</si>
  <si>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</si>
  <si>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</si>
  <si>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</si>
  <si>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</si>
  <si>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</si>
  <si>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</si>
  <si>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</si>
  <si>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</si>
  <si>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</si>
  <si>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</si>
  <si>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</si>
  <si>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</si>
  <si>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</si>
  <si>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</si>
  <si>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</si>
  <si>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</si>
  <si>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</si>
  <si>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</si>
  <si>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</si>
  <si>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</si>
  <si>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</si>
  <si>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</si>
  <si>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</si>
  <si>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</si>
  <si>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</si>
  <si>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</si>
  <si>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</si>
  <si>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</si>
  <si>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</si>
  <si>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</si>
  <si>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</si>
  <si>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</si>
  <si>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</si>
  <si>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</si>
  <si>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</si>
  <si>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</si>
  <si>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</si>
  <si>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</si>
  <si>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</si>
  <si>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</si>
  <si>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</si>
  <si>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</si>
  <si>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</si>
  <si>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</si>
  <si>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</si>
  <si>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</si>
  <si>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</si>
  <si>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</si>
  <si>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</si>
  <si>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</si>
  <si>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</si>
  <si>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</si>
  <si>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</si>
  <si>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</si>
  <si>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</si>
  <si>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</si>
  <si>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</si>
  <si>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</si>
  <si>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</si>
  <si>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</si>
  <si>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</si>
  <si>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</si>
  <si>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</si>
  <si>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</si>
  <si>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</si>
  <si>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</si>
  <si>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</si>
  <si>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</si>
  <si>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</si>
  <si>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</si>
  <si>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</si>
  <si>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</si>
  <si>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</si>
  <si>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</si>
  <si>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</si>
  <si>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</si>
  <si>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</si>
  <si>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</si>
  <si>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</si>
  <si>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</si>
  <si>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</si>
  <si>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</si>
  <si>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</si>
  <si>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</si>
  <si>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</si>
  <si>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</si>
  <si>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</si>
  <si>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</si>
  <si>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</si>
  <si>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</si>
  <si>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</si>
  <si>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</si>
  <si>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</si>
  <si>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</si>
  <si>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</si>
  <si>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</si>
  <si>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</si>
  <si>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</si>
  <si>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</si>
  <si>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</si>
  <si>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</si>
  <si>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</si>
  <si>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</si>
  <si>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</si>
  <si>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</si>
  <si>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</si>
  <si>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</si>
  <si>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</si>
  <si>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</si>
  <si>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</si>
  <si>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</si>
  <si>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</si>
  <si>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</si>
  <si>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</si>
  <si>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</si>
  <si>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</si>
  <si>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</si>
  <si>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</si>
  <si>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</si>
  <si>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</si>
  <si>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</si>
  <si>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</si>
  <si>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</si>
  <si>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</si>
  <si>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</si>
  <si>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</si>
  <si>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</si>
  <si>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</si>
  <si>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</si>
  <si>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</si>
  <si>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</si>
  <si>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</si>
  <si>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</si>
  <si>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</si>
  <si>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</si>
  <si>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</si>
  <si>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</si>
  <si>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</si>
  <si>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</si>
  <si>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</si>
  <si>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</si>
  <si>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</si>
  <si>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</si>
  <si>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</si>
  <si>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</si>
  <si>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</si>
  <si>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</si>
  <si>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</si>
  <si>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</si>
  <si>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</si>
  <si>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</si>
  <si>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</si>
  <si>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</si>
  <si>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</si>
  <si>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</si>
  <si>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</si>
  <si>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</si>
  <si>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</si>
  <si>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</si>
  <si>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</si>
  <si>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</si>
  <si>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</si>
  <si>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</si>
  <si>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</si>
  <si>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</si>
  <si>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</si>
  <si>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</si>
  <si>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</si>
  <si>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</si>
  <si>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</si>
  <si>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</si>
  <si>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</si>
  <si>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</si>
  <si>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</si>
  <si>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</si>
  <si>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</si>
  <si>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</si>
  <si>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</si>
  <si>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</si>
  <si>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</si>
  <si>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</si>
  <si>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</si>
  <si>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</si>
  <si>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</si>
  <si>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</si>
  <si>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</si>
  <si>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</si>
  <si>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</si>
  <si>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</si>
  <si>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</si>
  <si>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</si>
  <si>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</si>
  <si>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</si>
  <si>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</si>
  <si>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</si>
  <si>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</si>
  <si>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</si>
  <si>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</si>
  <si>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</si>
  <si>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</si>
  <si>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</si>
  <si>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</si>
  <si>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</si>
  <si>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</si>
  <si>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</si>
  <si>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</si>
  <si>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</si>
  <si>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</si>
  <si>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</si>
  <si>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</si>
  <si>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</si>
  <si>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</si>
  <si>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</si>
  <si>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</si>
  <si>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</si>
  <si>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</si>
  <si>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</si>
  <si>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</si>
  <si>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</si>
  <si>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</si>
  <si>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</si>
  <si>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</si>
  <si>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</si>
  <si>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</si>
  <si>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</si>
  <si>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</si>
  <si>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</si>
  <si>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</si>
  <si>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</si>
  <si>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</si>
  <si>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</si>
  <si>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</si>
  <si>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</si>
  <si>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</si>
  <si>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</si>
  <si>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</si>
  <si>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</si>
  <si>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</si>
  <si>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</si>
  <si>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</si>
  <si>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</si>
  <si>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</si>
  <si>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</si>
  <si>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</si>
  <si>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</si>
  <si>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</si>
  <si>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</si>
  <si>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</si>
  <si>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</si>
  <si>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</si>
  <si>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</si>
  <si>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</si>
  <si>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</si>
  <si>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</si>
  <si>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</si>
  <si>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</si>
  <si>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</si>
  <si>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</si>
  <si>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</si>
  <si>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</si>
  <si>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</si>
  <si>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</si>
  <si>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</si>
  <si>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</si>
  <si>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</si>
  <si>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</si>
  <si>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</si>
  <si>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</si>
  <si>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</si>
  <si>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</si>
  <si>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</si>
  <si>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</si>
  <si>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</si>
  <si>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</si>
  <si>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</si>
  <si>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</si>
  <si>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</si>
  <si>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</si>
  <si>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</si>
  <si>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</si>
  <si>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</si>
  <si>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</si>
  <si>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</si>
  <si>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</si>
  <si>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</si>
  <si>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</si>
  <si>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</si>
  <si>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</si>
  <si>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</si>
  <si>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</si>
  <si>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</si>
  <si>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</si>
  <si>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</si>
  <si>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</si>
  <si>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</si>
  <si>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</si>
  <si>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</si>
  <si>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</si>
  <si>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</si>
  <si>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</si>
  <si>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</si>
  <si>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</si>
  <si>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</si>
  <si>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</si>
  <si>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</si>
  <si>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</si>
  <si>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</si>
  <si>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</si>
  <si>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</si>
  <si>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</si>
  <si>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</si>
  <si>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</si>
  <si>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</si>
  <si>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</si>
  <si>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</si>
  <si>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</si>
  <si>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</si>
  <si>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</si>
  <si>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</si>
  <si>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</si>
  <si>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</si>
  <si>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</si>
  <si>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</si>
  <si>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</si>
  <si>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</si>
  <si>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</si>
  <si>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</si>
  <si>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</si>
  <si>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</si>
  <si>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</si>
  <si>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</si>
  <si>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</si>
  <si>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</si>
  <si>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</si>
  <si>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</si>
  <si>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</si>
  <si>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</si>
  <si>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</si>
  <si>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</si>
  <si>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</si>
  <si>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</si>
  <si>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</si>
  <si>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</si>
  <si>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</si>
  <si>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</si>
  <si>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</si>
  <si>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</si>
  <si>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</si>
  <si>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</si>
  <si>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</si>
  <si>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</si>
  <si>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</si>
  <si>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</si>
  <si>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</si>
  <si>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</si>
  <si>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</si>
  <si>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</si>
  <si>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</si>
  <si>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</si>
  <si>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</si>
  <si>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</si>
  <si>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</si>
  <si>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</si>
  <si>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</si>
  <si>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</si>
  <si>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</si>
  <si>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</si>
  <si>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</si>
  <si>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</si>
  <si>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</si>
  <si>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</si>
  <si>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</si>
  <si>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</si>
  <si>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</si>
  <si>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</si>
  <si>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</si>
  <si>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</si>
  <si>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</si>
  <si>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</si>
  <si>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</si>
  <si>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</si>
  <si>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</si>
  <si>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</si>
  <si>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</si>
  <si>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</si>
  <si>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</si>
  <si>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</si>
  <si>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</si>
  <si>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</si>
  <si>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</si>
  <si>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</si>
  <si>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</si>
  <si>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</si>
  <si>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</si>
  <si>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</si>
  <si>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</si>
  <si>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</si>
  <si>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</si>
  <si>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</si>
  <si>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</si>
  <si>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</si>
  <si>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</si>
  <si>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</si>
  <si>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</si>
  <si>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</si>
  <si>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</si>
  <si>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</si>
  <si>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</si>
  <si>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</si>
  <si>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</si>
  <si>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</si>
  <si>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</si>
  <si>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</si>
  <si>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</si>
  <si>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</si>
  <si>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</si>
  <si>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</si>
  <si>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</si>
  <si>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</si>
  <si>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</si>
  <si>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</si>
  <si>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</si>
  <si>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</si>
  <si>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</si>
  <si>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</si>
  <si>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</si>
  <si>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</si>
  <si>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</si>
  <si>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</si>
  <si>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</si>
  <si>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</si>
  <si>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</si>
  <si>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</si>
  <si>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</si>
  <si>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</si>
  <si>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</si>
  <si>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</si>
  <si>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</si>
  <si>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</si>
  <si>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</si>
  <si>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</si>
  <si>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</si>
  <si>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</si>
  <si>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</si>
  <si>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</si>
  <si>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</si>
  <si>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</si>
  <si>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</si>
  <si>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</si>
  <si>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</si>
  <si>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</si>
  <si>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</si>
  <si>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</si>
  <si>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</si>
  <si>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</si>
  <si>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</si>
  <si>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</si>
  <si>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</si>
  <si>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</si>
  <si>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</si>
  <si>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</si>
  <si>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</si>
  <si>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</si>
  <si>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</si>
  <si>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</si>
  <si>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</si>
  <si>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</si>
  <si>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</si>
  <si>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</si>
  <si>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</si>
  <si>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</si>
  <si>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</si>
  <si>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</si>
  <si>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</si>
  <si>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</si>
  <si>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</si>
  <si>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</si>
  <si>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</si>
  <si>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</si>
  <si>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</si>
  <si>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</si>
  <si>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</si>
  <si>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</si>
  <si>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</si>
  <si>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</si>
  <si>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</si>
  <si>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</si>
  <si>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</si>
  <si>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</si>
  <si>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</si>
  <si>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</si>
  <si>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</si>
  <si>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</si>
  <si>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</si>
  <si>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</si>
  <si>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</si>
  <si>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</si>
  <si>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</si>
  <si>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</si>
  <si>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</si>
  <si>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</si>
  <si>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</si>
  <si>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</si>
  <si>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</si>
  <si>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</si>
  <si>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</si>
  <si>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</si>
  <si>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</si>
  <si>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</si>
  <si>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</si>
  <si>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</si>
  <si>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</si>
  <si>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</si>
  <si>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</si>
  <si>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</si>
  <si>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</si>
  <si>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</si>
  <si>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</si>
  <si>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</si>
  <si>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</si>
  <si>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</si>
  <si>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</si>
  <si>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</si>
  <si>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</si>
  <si>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</si>
  <si>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</si>
  <si>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</si>
  <si>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</si>
  <si>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</si>
  <si>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</si>
  <si>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</si>
  <si>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</si>
  <si>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</si>
  <si>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</si>
  <si>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</si>
  <si>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</si>
  <si>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</si>
  <si>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</si>
  <si>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</si>
  <si>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</si>
  <si>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</si>
  <si>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</si>
  <si>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</si>
  <si>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</si>
  <si>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</si>
  <si>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</si>
  <si>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</si>
  <si>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</si>
  <si>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</si>
  <si>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</si>
  <si>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</si>
  <si>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</si>
  <si>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</si>
  <si>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</si>
  <si>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</si>
  <si>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</si>
  <si>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</si>
  <si>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</si>
  <si>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</si>
  <si>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</si>
  <si>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</si>
  <si>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</si>
  <si>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</si>
  <si>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</si>
  <si>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</si>
  <si>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</si>
  <si>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</si>
  <si>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</si>
  <si>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</si>
  <si>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</si>
  <si>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</si>
  <si>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</si>
  <si>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</si>
  <si>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</si>
  <si>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</si>
  <si>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</si>
  <si>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</si>
  <si>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</si>
  <si>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</si>
  <si>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</si>
  <si>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</si>
  <si>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</si>
  <si>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</si>
  <si>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</si>
  <si>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</si>
  <si>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</si>
  <si>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</si>
  <si>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</si>
  <si>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</si>
  <si>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</si>
  <si>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</si>
  <si>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</si>
  <si>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</si>
  <si>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</si>
  <si>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</si>
  <si>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</si>
  <si>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</si>
  <si>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</si>
  <si>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</si>
  <si>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</si>
  <si>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</si>
  <si>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</si>
  <si>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</si>
  <si>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</si>
  <si>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</si>
  <si>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</si>
  <si>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</si>
  <si>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</si>
  <si>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</si>
  <si>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</si>
  <si>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</si>
  <si>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</si>
  <si>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</si>
  <si>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</si>
  <si>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</si>
  <si>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</si>
  <si>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</si>
  <si>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</si>
  <si>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</si>
  <si>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</si>
  <si>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</si>
  <si>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</si>
  <si>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</si>
  <si>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</si>
  <si>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</si>
  <si>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</si>
  <si>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</si>
  <si>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</si>
  <si>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</si>
  <si>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</si>
  <si>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</si>
  <si>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</si>
  <si>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</si>
  <si>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</si>
  <si>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</si>
  <si>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</si>
  <si>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</si>
  <si>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</si>
  <si>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</si>
  <si>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</si>
  <si>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</si>
  <si>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</si>
  <si>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</si>
  <si>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</si>
  <si>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</si>
  <si>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</si>
  <si>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</si>
  <si>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</si>
  <si>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</si>
  <si>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</si>
  <si>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</si>
  <si>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</si>
  <si>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</si>
  <si>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</si>
  <si>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</si>
  <si>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</si>
  <si>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</si>
  <si>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</si>
  <si>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</si>
  <si>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</si>
  <si>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</si>
  <si>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</si>
  <si>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</si>
  <si>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</si>
  <si>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</si>
  <si>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</si>
  <si>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</si>
  <si>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</si>
  <si>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</si>
  <si>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</si>
  <si>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</si>
  <si>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</si>
  <si>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</si>
  <si>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</si>
  <si>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</si>
  <si>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</si>
  <si>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</si>
  <si>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</si>
  <si>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</si>
  <si>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</si>
  <si>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</si>
  <si>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</si>
  <si>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</si>
  <si>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</si>
  <si>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</si>
  <si>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</si>
  <si>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</si>
  <si>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</si>
  <si>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</si>
  <si>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</si>
  <si>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</si>
  <si>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</si>
  <si>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</si>
  <si>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</si>
  <si>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</si>
  <si>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</si>
  <si>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</si>
  <si>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</si>
  <si>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</si>
  <si>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</si>
  <si>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</si>
  <si>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</si>
  <si>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</si>
  <si>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</si>
  <si>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</si>
  <si>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</si>
  <si>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</si>
  <si>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</si>
  <si>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</si>
  <si>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</si>
  <si>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</si>
  <si>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</si>
  <si>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</si>
  <si>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</si>
  <si>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</si>
  <si>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</si>
  <si>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</si>
  <si>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</si>
  <si>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</si>
  <si>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</si>
  <si>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</si>
  <si>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</si>
  <si>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</si>
  <si>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</si>
  <si>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</si>
  <si>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</si>
  <si>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</si>
  <si>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</si>
  <si>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</si>
  <si>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</si>
  <si>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</si>
  <si>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</si>
  <si>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</si>
  <si>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</si>
  <si>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</si>
  <si>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</si>
  <si>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</si>
  <si>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</si>
  <si>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</si>
  <si>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</si>
  <si>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</si>
  <si>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</si>
  <si>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</si>
  <si>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</si>
  <si>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</si>
  <si>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</si>
  <si>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</si>
  <si>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</si>
  <si>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</si>
  <si>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</si>
  <si>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</si>
  <si>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</si>
  <si>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</si>
  <si>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</si>
  <si>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</si>
  <si>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</si>
  <si>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</si>
  <si>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</si>
  <si>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</si>
  <si>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</si>
  <si>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</si>
  <si>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</si>
  <si>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</si>
  <si>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</si>
  <si>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</si>
  <si>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</si>
  <si>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</si>
  <si>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</si>
  <si>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</si>
  <si>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</si>
  <si>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</si>
  <si>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</si>
  <si>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</si>
  <si>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</si>
  <si>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</si>
  <si>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</si>
  <si>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</si>
  <si>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</si>
  <si>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</si>
  <si>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</si>
  <si>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</si>
  <si>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</si>
  <si>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</si>
  <si>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</si>
  <si>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</si>
  <si>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</si>
  <si>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</si>
  <si>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</si>
  <si>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</si>
  <si>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</si>
  <si>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</si>
  <si>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</si>
  <si>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</si>
  <si>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</si>
  <si>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</si>
  <si>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</si>
  <si>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</si>
  <si>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</si>
  <si>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</si>
  <si>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</si>
  <si>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</si>
  <si>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</si>
  <si>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</si>
  <si>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</si>
  <si>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</si>
  <si>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</si>
  <si>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</si>
  <si>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</si>
  <si>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</si>
  <si>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</si>
  <si>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</si>
  <si>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</si>
  <si>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</si>
  <si>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</si>
  <si>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</si>
  <si>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</si>
  <si>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</si>
  <si>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</si>
  <si>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</si>
  <si>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</si>
  <si>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</si>
  <si>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</si>
  <si>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</si>
  <si>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</si>
  <si>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</si>
  <si>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</si>
  <si>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</si>
  <si>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</si>
  <si>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</si>
  <si>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</si>
  <si>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</si>
  <si>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</si>
  <si>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</si>
  <si>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</si>
  <si>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</si>
  <si>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</si>
  <si>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</si>
  <si>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</si>
  <si>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</si>
  <si>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</si>
  <si>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</si>
  <si>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</si>
  <si>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</si>
  <si>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</si>
  <si>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</si>
  <si>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</si>
  <si>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</si>
  <si>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</si>
  <si>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</si>
  <si>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</si>
  <si>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</si>
  <si>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</si>
  <si>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</si>
  <si>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</si>
  <si>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</si>
  <si>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</si>
  <si>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</si>
  <si>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</si>
  <si>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</si>
  <si>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</si>
  <si>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</si>
  <si>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</si>
  <si>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</si>
  <si>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</si>
  <si>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</si>
  <si>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</si>
  <si>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</si>
  <si>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</si>
  <si>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</si>
  <si>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</si>
  <si>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</si>
  <si>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</si>
  <si>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</si>
  <si>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</si>
  <si>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</si>
  <si>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</si>
  <si>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</si>
  <si>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</si>
  <si>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</si>
  <si>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</si>
  <si>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</si>
  <si>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</si>
  <si>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</si>
  <si>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</si>
  <si>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</si>
  <si>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</si>
  <si>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</si>
  <si>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</si>
  <si>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</si>
  <si>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</si>
  <si>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</si>
  <si>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</si>
  <si>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</si>
  <si>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</si>
  <si>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</si>
  <si>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</si>
  <si>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</si>
  <si>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</si>
  <si>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</si>
  <si>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</si>
  <si>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</si>
  <si>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</si>
  <si>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</si>
  <si>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</si>
  <si>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</si>
  <si>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</si>
  <si>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</si>
  <si>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</si>
  <si>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</si>
  <si>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</si>
  <si>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</si>
  <si>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</si>
  <si>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</si>
  <si>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</si>
  <si>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</si>
  <si>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</si>
  <si>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</si>
  <si>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</si>
  <si>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</si>
  <si>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</si>
  <si>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</si>
  <si>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</si>
  <si>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</si>
  <si>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</si>
  <si>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</si>
  <si>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</si>
  <si>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</si>
  <si>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</si>
  <si>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</si>
  <si>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</si>
  <si>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</si>
  <si>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</si>
  <si>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</si>
  <si>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</si>
  <si>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</si>
  <si>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</si>
  <si>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</si>
  <si>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</si>
  <si>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</si>
  <si>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</si>
  <si>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</si>
  <si>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</si>
  <si>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</si>
  <si>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</si>
  <si>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</si>
  <si>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</si>
  <si>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</si>
  <si>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</si>
  <si>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</si>
  <si>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</si>
  <si>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</si>
  <si>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</si>
  <si>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</si>
  <si>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</si>
  <si>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</si>
  <si>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</si>
  <si>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</si>
  <si>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</si>
  <si>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</si>
  <si>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</si>
  <si>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</si>
  <si>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</si>
  <si>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</si>
  <si>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</si>
  <si>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</si>
  <si>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</si>
  <si>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</si>
  <si>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</si>
  <si>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</si>
  <si>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</si>
  <si>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</si>
  <si>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</si>
  <si>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</si>
  <si>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</si>
  <si>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</si>
  <si>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</si>
  <si>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</si>
  <si>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</si>
  <si>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</si>
  <si>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</si>
  <si>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</si>
  <si>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</si>
  <si>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</si>
  <si>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</si>
  <si>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</si>
  <si>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</si>
  <si>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</si>
  <si>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</si>
  <si>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</si>
  <si>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</si>
  <si>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</si>
  <si>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</si>
  <si>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</si>
  <si>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</si>
  <si>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</si>
  <si>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</si>
  <si>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</si>
  <si>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</si>
  <si>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</si>
  <si>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</si>
  <si>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</si>
  <si>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</si>
  <si>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</si>
  <si>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</si>
  <si>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</si>
  <si>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</si>
  <si>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</si>
  <si>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</si>
  <si>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</si>
  <si>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</si>
  <si>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</si>
  <si>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</si>
  <si>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</si>
  <si>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</si>
  <si>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</si>
  <si>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</si>
  <si>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</si>
  <si>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</si>
  <si>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</si>
  <si>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</si>
  <si>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</si>
  <si>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</si>
  <si>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</si>
  <si>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</si>
  <si>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</si>
  <si>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</si>
  <si>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</si>
  <si>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</si>
  <si>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</si>
  <si>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</si>
  <si>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</si>
  <si>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</si>
  <si>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</si>
  <si>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</si>
  <si>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</si>
  <si>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</si>
  <si>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</si>
  <si>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</si>
  <si>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</si>
  <si>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</si>
  <si>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</si>
  <si>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</si>
  <si>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</si>
  <si>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</si>
  <si>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</si>
  <si>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</si>
  <si>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</si>
  <si>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</si>
  <si>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</si>
  <si>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</si>
  <si>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</si>
  <si>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</si>
  <si>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</si>
  <si>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</si>
  <si>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</si>
  <si>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</si>
  <si>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</si>
  <si>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</si>
  <si>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</si>
  <si>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</si>
  <si>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</si>
  <si>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</si>
  <si>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</si>
  <si>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</si>
  <si>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</si>
  <si>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</si>
  <si>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</si>
  <si>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</si>
  <si>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</si>
  <si>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</si>
  <si>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</si>
  <si>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</si>
  <si>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</si>
  <si>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</si>
  <si>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</si>
  <si>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</si>
  <si>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</si>
  <si>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</si>
  <si>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</si>
  <si>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</si>
  <si>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</si>
  <si>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</si>
  <si>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</si>
  <si>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</si>
  <si>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</si>
  <si>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</si>
  <si>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</si>
  <si>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</si>
  <si>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</si>
  <si>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</si>
  <si>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</si>
  <si>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</si>
  <si>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</si>
  <si>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</si>
  <si>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</si>
  <si>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</si>
  <si>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</si>
  <si>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</si>
  <si>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</si>
  <si>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</si>
  <si>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</si>
  <si>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</si>
  <si>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</si>
  <si>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</si>
  <si>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</si>
  <si>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</si>
  <si>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</si>
  <si>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</si>
  <si>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</si>
  <si>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</si>
  <si>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</si>
  <si>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</si>
  <si>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</si>
  <si>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</si>
  <si>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</si>
  <si>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</si>
  <si>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</si>
  <si>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</si>
  <si>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</si>
  <si>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</si>
  <si>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</si>
  <si>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</si>
  <si>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</si>
  <si>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</si>
  <si>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</si>
  <si>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</si>
  <si>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</si>
  <si>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</si>
  <si>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</si>
  <si>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</si>
  <si>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</si>
  <si>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</si>
  <si>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</si>
  <si>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</si>
  <si>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</si>
  <si>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</si>
  <si>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</si>
  <si>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</si>
  <si>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</si>
  <si>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</si>
  <si>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</si>
  <si>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</si>
  <si>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</si>
  <si>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</si>
  <si>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</si>
  <si>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</si>
  <si>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</si>
  <si>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</si>
  <si>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</si>
  <si>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</si>
  <si>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</si>
  <si>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</si>
  <si>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</si>
  <si>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</si>
  <si>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</si>
  <si>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</si>
  <si>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</si>
  <si>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</si>
  <si>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</si>
  <si>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</si>
  <si>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</si>
  <si>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</si>
  <si>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</si>
  <si>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</si>
  <si>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</si>
  <si>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</si>
  <si>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</si>
  <si>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</si>
  <si>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</si>
  <si>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</si>
  <si>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</si>
  <si>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</si>
  <si>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</si>
  <si>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</si>
  <si>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</si>
  <si>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</si>
  <si>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</si>
  <si>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</si>
  <si>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</si>
  <si>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</si>
  <si>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</si>
  <si>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</si>
  <si>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</si>
  <si>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</si>
  <si>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</si>
  <si>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</si>
  <si>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</si>
  <si>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</si>
  <si>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</si>
  <si>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</si>
  <si>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</si>
  <si>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</si>
  <si>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</si>
  <si>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</si>
  <si>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</si>
  <si>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</si>
  <si>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</si>
  <si>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</si>
  <si>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</si>
  <si>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</si>
  <si>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</si>
  <si>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</si>
  <si>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</si>
  <si>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</si>
  <si>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</si>
  <si>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</si>
  <si>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</si>
  <si>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</si>
  <si>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</si>
  <si>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</si>
  <si>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</si>
  <si>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</si>
  <si>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</si>
  <si>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</si>
  <si>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</si>
  <si>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</si>
  <si>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</si>
  <si>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</si>
  <si>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</si>
  <si>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</si>
  <si>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</si>
  <si>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</si>
  <si>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</si>
  <si>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</si>
  <si>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</si>
  <si>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</si>
  <si>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</si>
  <si>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</si>
  <si>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</si>
  <si>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</si>
  <si>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</si>
  <si>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</si>
  <si>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</si>
  <si>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</si>
  <si>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</si>
  <si>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</si>
  <si>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</si>
  <si>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</si>
  <si>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</si>
  <si>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</si>
  <si>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</si>
  <si>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</si>
  <si>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</si>
  <si>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</si>
  <si>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</si>
  <si>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</si>
  <si>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</si>
  <si>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</si>
  <si>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</si>
  <si>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</si>
  <si>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</si>
  <si>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</si>
  <si>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</si>
  <si>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</si>
  <si>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</si>
  <si>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</si>
  <si>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</si>
  <si>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</si>
  <si>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</si>
  <si>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</si>
  <si>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</si>
  <si>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</si>
  <si>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</si>
  <si>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</si>
  <si>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</si>
  <si>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</si>
  <si>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</si>
  <si>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</si>
  <si>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</si>
  <si>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</si>
  <si>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</si>
  <si>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</si>
  <si>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</si>
  <si>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</si>
  <si>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</si>
  <si>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</si>
  <si>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</si>
  <si>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</si>
  <si>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</si>
  <si>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</si>
  <si>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</si>
  <si>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</si>
  <si>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</si>
  <si>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</si>
  <si>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</si>
  <si>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</si>
  <si>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</si>
  <si>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</si>
  <si>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</si>
  <si>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</si>
  <si>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</si>
  <si>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</si>
  <si>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</si>
  <si>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</si>
  <si>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</si>
  <si>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</si>
  <si>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</si>
  <si>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</si>
  <si>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</si>
  <si>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</si>
  <si>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</si>
  <si>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</si>
  <si>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</si>
  <si>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</si>
  <si>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</si>
  <si>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</si>
  <si>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</si>
  <si>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</si>
  <si>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</si>
  <si>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</si>
  <si>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</si>
  <si>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</si>
  <si>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</si>
  <si>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</si>
  <si>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</si>
  <si>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</si>
  <si>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</si>
  <si>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</si>
  <si>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</si>
  <si>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</si>
  <si>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</si>
  <si>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</si>
  <si>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</si>
  <si>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</si>
  <si>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</si>
  <si>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</si>
  <si>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</si>
  <si>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</si>
  <si>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</si>
  <si>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</si>
  <si>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</si>
  <si>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</si>
  <si>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</si>
  <si>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</si>
  <si>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</si>
  <si>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</si>
  <si>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</si>
  <si>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</si>
  <si>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</si>
  <si>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</si>
  <si>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</si>
  <si>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</si>
  <si>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</si>
  <si>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</si>
  <si>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</si>
  <si>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</si>
  <si>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</si>
  <si>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</si>
  <si>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</si>
  <si>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</si>
  <si>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</si>
  <si>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</si>
  <si>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</si>
  <si>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</si>
  <si>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</si>
  <si>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</si>
  <si>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</si>
  <si>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</si>
  <si>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</si>
  <si>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</si>
  <si>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</si>
  <si>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</si>
  <si>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</si>
  <si>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</si>
  <si>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</si>
  <si>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</si>
  <si>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</si>
  <si>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</si>
  <si>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</si>
  <si>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</si>
  <si>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</si>
  <si>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</si>
  <si>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</si>
  <si>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</si>
  <si>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</si>
  <si>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</si>
  <si>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</si>
  <si>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</si>
  <si>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</si>
  <si>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</si>
  <si>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</si>
  <si>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</si>
  <si>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</si>
  <si>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</si>
  <si>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</si>
  <si>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</si>
  <si>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</si>
  <si>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</si>
  <si>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</si>
  <si>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</si>
  <si>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</si>
  <si>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</si>
  <si>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</si>
  <si>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</si>
  <si>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</si>
  <si>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</si>
  <si>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</si>
  <si>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</si>
  <si>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</si>
  <si>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</si>
  <si>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</si>
  <si>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</si>
  <si>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</si>
  <si>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</si>
  <si>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</si>
  <si>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</si>
  <si>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</si>
  <si>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</si>
  <si>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</si>
  <si>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</si>
  <si>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</si>
  <si>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</si>
  <si>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</si>
  <si>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</si>
  <si>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</si>
  <si>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</si>
  <si>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</si>
  <si>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</si>
  <si>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</si>
  <si>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</si>
  <si>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</si>
  <si>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</si>
  <si>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</si>
  <si>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</si>
  <si>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</si>
  <si>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</si>
  <si>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</si>
  <si>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</si>
  <si>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</si>
  <si>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</si>
  <si>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</si>
  <si>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</si>
  <si>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</si>
  <si>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</si>
  <si>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</si>
  <si>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</si>
  <si>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</si>
  <si>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</si>
  <si>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</si>
  <si>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</si>
  <si>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</si>
  <si>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</si>
  <si>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</si>
  <si>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</si>
  <si>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</si>
  <si>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</si>
  <si>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</si>
  <si>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</si>
  <si>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</si>
  <si>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</si>
  <si>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</si>
  <si>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</si>
  <si>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</si>
  <si>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</si>
  <si>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</si>
  <si>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</si>
  <si>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</si>
  <si>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</si>
  <si>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</si>
  <si>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</si>
  <si>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</si>
  <si>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</si>
  <si>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</si>
  <si>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</si>
  <si>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</si>
  <si>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</si>
  <si>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</si>
  <si>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</si>
  <si>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</si>
  <si>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</si>
  <si>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</si>
  <si>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</si>
  <si>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</si>
  <si>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</si>
  <si>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</si>
  <si>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</si>
  <si>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</si>
  <si>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</si>
  <si>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</si>
  <si>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</si>
  <si>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</si>
  <si>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</si>
  <si>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</si>
  <si>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</si>
  <si>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</si>
  <si>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</si>
  <si>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</si>
  <si>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</si>
  <si>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</si>
  <si>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</si>
  <si>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</si>
  <si>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</si>
  <si>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</si>
  <si>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</si>
  <si>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</si>
  <si>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</si>
  <si>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</si>
  <si>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</si>
  <si>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</si>
  <si>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</si>
  <si>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</si>
  <si>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</si>
  <si>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</si>
  <si>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</si>
  <si>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</si>
  <si>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</si>
  <si>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</si>
  <si>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</si>
  <si>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</si>
  <si>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</si>
  <si>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</si>
  <si>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</si>
  <si>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</si>
  <si>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</si>
  <si>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</si>
  <si>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</si>
  <si>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</si>
  <si>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</si>
  <si>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</si>
  <si>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</si>
  <si>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</si>
  <si>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</si>
  <si>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</si>
  <si>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</si>
  <si>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</si>
  <si>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</si>
  <si>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</si>
  <si>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</si>
  <si>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</si>
  <si>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</si>
  <si>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</si>
  <si>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</si>
  <si>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</si>
  <si>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</si>
  <si>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</si>
  <si>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</si>
  <si>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</si>
  <si>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</si>
  <si>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</si>
  <si>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</si>
  <si>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</si>
  <si>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</si>
  <si>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</si>
  <si>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</si>
  <si>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</si>
  <si>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</si>
  <si>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</si>
  <si>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</si>
  <si>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</si>
  <si>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</si>
  <si>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</si>
  <si>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</si>
  <si>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</si>
  <si>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</si>
  <si>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</si>
  <si>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</si>
  <si>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</si>
  <si>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</si>
  <si>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</si>
  <si>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</si>
  <si>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</si>
  <si>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</si>
  <si>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</si>
  <si>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</si>
  <si>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</si>
  <si>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</si>
  <si>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</si>
  <si>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</si>
  <si>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</si>
  <si>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</si>
  <si>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</si>
  <si>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</si>
  <si>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</si>
  <si>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</si>
  <si>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</si>
  <si>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</si>
  <si>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</si>
  <si>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</si>
  <si>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</si>
  <si>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</si>
  <si>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</si>
  <si>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</si>
  <si>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</si>
  <si>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</si>
  <si>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</si>
  <si>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</si>
  <si>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</si>
  <si>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</si>
  <si>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</si>
  <si>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</si>
  <si>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</si>
  <si>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</si>
  <si>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</si>
  <si>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</si>
  <si>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</si>
  <si>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</si>
  <si>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</si>
  <si>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</si>
  <si>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</si>
  <si>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</si>
  <si>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</si>
  <si>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</si>
  <si>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</si>
  <si>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</si>
  <si>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</si>
  <si>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</si>
  <si>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</si>
  <si>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</si>
  <si>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</si>
  <si>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</si>
  <si>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</si>
  <si>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</si>
  <si>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</si>
  <si>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</si>
  <si>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</si>
  <si>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</si>
  <si>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</si>
  <si>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</si>
  <si>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</si>
  <si>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</si>
  <si>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</si>
  <si>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</si>
  <si>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</si>
  <si>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</si>
  <si>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</si>
  <si>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</si>
  <si>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</si>
  <si>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</si>
  <si>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</si>
  <si>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</si>
  <si>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</si>
  <si>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</si>
  <si>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</si>
  <si>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</si>
  <si>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</si>
  <si>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</si>
  <si>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</si>
  <si>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</si>
  <si>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</si>
  <si>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</si>
  <si>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</si>
  <si>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</si>
  <si>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</si>
  <si>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</si>
  <si>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</si>
  <si>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</si>
  <si>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</si>
  <si>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</si>
  <si>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</si>
  <si>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</si>
  <si>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</si>
  <si>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</si>
  <si>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</si>
  <si>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</si>
  <si>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</si>
  <si>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</si>
  <si>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</si>
  <si>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</si>
  <si>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</si>
  <si>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</si>
  <si>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</si>
  <si>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</si>
  <si>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</si>
  <si>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</si>
  <si>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</si>
  <si>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</si>
  <si>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</si>
  <si>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</si>
  <si>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</si>
  <si>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</si>
  <si>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</si>
  <si>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</si>
  <si>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</si>
  <si>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</si>
  <si>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</si>
  <si>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</si>
  <si>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</si>
  <si>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</si>
  <si>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</si>
  <si>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</si>
  <si>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</si>
  <si>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</si>
  <si>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</si>
  <si>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</si>
  <si>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</si>
  <si>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</si>
  <si>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</si>
  <si>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</si>
  <si>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</si>
  <si>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</si>
  <si>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</si>
  <si>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</si>
  <si>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</si>
  <si>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</si>
  <si>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</si>
  <si>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</si>
  <si>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</si>
  <si>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</si>
  <si>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</si>
  <si>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</si>
  <si>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</si>
  <si>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</si>
  <si>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</si>
  <si>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</si>
  <si>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</si>
  <si>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</si>
  <si>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</si>
  <si>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</si>
  <si>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</si>
  <si>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</si>
  <si>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</si>
  <si>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</si>
  <si>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</si>
  <si>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</si>
  <si>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</si>
  <si>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</si>
  <si>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</si>
  <si>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</si>
  <si>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</si>
  <si>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</si>
  <si>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</si>
  <si>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</si>
  <si>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</si>
  <si>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</si>
  <si>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</si>
  <si>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</si>
  <si>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</si>
  <si>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</si>
  <si>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</si>
  <si>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</si>
  <si>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</si>
  <si>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</si>
  <si>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</si>
  <si>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</si>
  <si>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</si>
  <si>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</si>
  <si>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</si>
  <si>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</si>
  <si>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</si>
  <si>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</si>
  <si>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</si>
  <si>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</si>
  <si>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</si>
  <si>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</si>
  <si>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</si>
  <si>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</si>
  <si>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</si>
  <si>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</si>
  <si>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</si>
  <si>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</si>
  <si>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</si>
  <si>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</si>
  <si>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</si>
  <si>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</si>
  <si>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</si>
  <si>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</si>
  <si>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</si>
  <si>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</si>
  <si>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</si>
  <si>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</si>
  <si>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</si>
  <si>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</si>
  <si>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</si>
  <si>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</si>
  <si>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</si>
  <si>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</si>
  <si>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</si>
  <si>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</si>
  <si>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</si>
  <si>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</si>
  <si>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</si>
  <si>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</si>
  <si>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</si>
  <si>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</si>
  <si>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</si>
  <si>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</si>
  <si>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</si>
  <si>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</si>
  <si>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</si>
  <si>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</si>
  <si>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</si>
  <si>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</si>
  <si>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</si>
  <si>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</si>
  <si>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</si>
  <si>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</si>
  <si>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</si>
  <si>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</si>
  <si>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</si>
  <si>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</si>
  <si>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</si>
  <si>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</si>
  <si>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</si>
  <si>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</si>
  <si>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</si>
  <si>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</si>
  <si>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</si>
  <si>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</si>
  <si>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</si>
  <si>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</si>
  <si>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</si>
  <si>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</si>
  <si>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</si>
  <si>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</si>
  <si>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</si>
  <si>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</si>
  <si>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</si>
  <si>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</si>
  <si>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</si>
  <si>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</si>
  <si>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</si>
  <si>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</si>
  <si>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</si>
  <si>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</si>
  <si>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</si>
  <si>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</si>
  <si>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</si>
  <si>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</si>
  <si>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</si>
  <si>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</si>
  <si>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</si>
  <si>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</si>
  <si>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</si>
  <si>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</si>
  <si>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</si>
  <si>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</si>
  <si>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</si>
  <si>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</si>
  <si>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</si>
  <si>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</si>
  <si>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</si>
  <si>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</si>
  <si>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</si>
  <si>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</si>
  <si>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</si>
  <si>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</si>
  <si>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</si>
  <si>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</si>
  <si>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</si>
  <si>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</si>
  <si>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</si>
  <si>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</si>
  <si>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</si>
  <si>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</si>
  <si>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</si>
  <si>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</si>
  <si>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</si>
  <si>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</si>
  <si>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</si>
  <si>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</si>
  <si>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</si>
  <si>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</si>
  <si>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</si>
  <si>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</si>
  <si>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</si>
  <si>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</si>
  <si>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</si>
  <si>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</si>
  <si>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</si>
  <si>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</si>
  <si>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</si>
  <si>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</si>
  <si>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</si>
  <si>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</si>
  <si>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</si>
  <si>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</si>
  <si>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</si>
  <si>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</si>
  <si>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</si>
  <si>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</si>
  <si>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</si>
  <si>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</si>
  <si>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</si>
  <si>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</si>
  <si>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</si>
  <si>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</si>
  <si>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</si>
  <si>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</si>
  <si>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</si>
  <si>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</si>
  <si>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</si>
  <si>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</si>
  <si>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</si>
  <si>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</si>
  <si>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</si>
  <si>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</si>
  <si>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</si>
  <si>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</si>
  <si>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</si>
  <si>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</si>
  <si>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</si>
  <si>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</si>
  <si>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</si>
  <si>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</si>
  <si>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</si>
  <si>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</si>
  <si>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</si>
  <si>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</si>
  <si>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</si>
  <si>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</si>
  <si>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</si>
  <si>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</si>
  <si>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</si>
  <si>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</si>
  <si>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</si>
  <si>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</si>
  <si>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</si>
  <si>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</si>
  <si>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</si>
  <si>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</si>
  <si>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</si>
  <si>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</si>
  <si>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</si>
  <si>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</si>
  <si>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</si>
  <si>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</si>
  <si>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</si>
  <si>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</si>
  <si>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</si>
  <si>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</si>
  <si>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</si>
  <si>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</si>
  <si>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</si>
  <si>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</si>
  <si>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</si>
  <si>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</si>
  <si>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</si>
  <si>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</si>
  <si>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</si>
  <si>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</si>
  <si>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</si>
  <si>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</si>
  <si>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</si>
  <si>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</si>
  <si>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</si>
  <si>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</si>
  <si>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</si>
  <si>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</si>
  <si>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</si>
  <si>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</si>
  <si>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</si>
  <si>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</si>
  <si>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</si>
  <si>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</si>
  <si>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</si>
  <si>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</si>
  <si>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</si>
  <si>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</si>
  <si>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</si>
  <si>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</si>
  <si>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</si>
  <si>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</si>
  <si>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</si>
  <si>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</si>
  <si>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</si>
  <si>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</si>
  <si>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</si>
  <si>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</si>
  <si>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</si>
  <si>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</si>
  <si>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</si>
  <si>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</si>
  <si>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</si>
  <si>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</si>
  <si>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</si>
  <si>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</si>
  <si>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</si>
  <si>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</si>
  <si>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</si>
  <si>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</si>
  <si>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</si>
  <si>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</si>
  <si>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</si>
  <si>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</si>
  <si>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</si>
  <si>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</si>
  <si>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</si>
  <si>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</si>
  <si>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</si>
  <si>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</si>
  <si>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</si>
  <si>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</si>
  <si>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</si>
  <si>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</si>
  <si>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</si>
  <si>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</si>
  <si>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</si>
  <si>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</si>
  <si>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</si>
  <si>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</si>
  <si>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</si>
  <si>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</si>
  <si>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</si>
  <si>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</si>
  <si>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</si>
  <si>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</si>
  <si>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</si>
  <si>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</si>
  <si>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</si>
  <si>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</si>
  <si>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</si>
  <si>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</si>
  <si>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</si>
  <si>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</si>
  <si>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</si>
  <si>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</si>
  <si>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</si>
  <si>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</si>
  <si>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</si>
  <si>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</si>
  <si>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</si>
  <si>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</si>
  <si>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</si>
  <si>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</si>
  <si>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</si>
  <si>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</si>
  <si>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</si>
  <si>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</si>
  <si>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</si>
  <si>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</si>
  <si>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</si>
  <si>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</si>
  <si>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</si>
  <si>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</si>
  <si>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</si>
  <si>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</si>
  <si>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</si>
  <si>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</si>
  <si>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</si>
  <si>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</si>
  <si>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</si>
  <si>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</si>
  <si>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</si>
  <si>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</si>
  <si>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</si>
  <si>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</si>
  <si>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</si>
  <si>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</si>
  <si>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</si>
  <si>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</si>
  <si>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</si>
  <si>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</si>
  <si>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</si>
  <si>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</si>
  <si>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</si>
  <si>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</si>
  <si>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</si>
  <si>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</si>
  <si>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</si>
  <si>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</si>
  <si>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</si>
  <si>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</si>
  <si>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</si>
  <si>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</si>
  <si>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</si>
  <si>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</si>
  <si>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</si>
  <si>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</si>
  <si>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</si>
  <si>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</si>
  <si>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</si>
  <si>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</si>
  <si>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</si>
  <si>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</si>
  <si>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</si>
  <si>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</si>
  <si>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</si>
  <si>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</si>
  <si>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</si>
  <si>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</si>
  <si>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</si>
  <si>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</si>
  <si>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</si>
  <si>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</si>
  <si>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</si>
  <si>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</si>
  <si>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</si>
  <si>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</si>
  <si>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</si>
  <si>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</si>
  <si>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</si>
  <si>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</si>
  <si>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</si>
  <si>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</si>
  <si>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</si>
  <si>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</si>
  <si>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</si>
  <si>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</si>
  <si>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</si>
  <si>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</si>
  <si>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</si>
  <si>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</si>
  <si>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</si>
  <si>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</si>
  <si>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</si>
  <si>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</si>
  <si>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</si>
  <si>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</si>
  <si>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</si>
  <si>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</si>
  <si>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</si>
  <si>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</si>
  <si>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</si>
  <si>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</si>
  <si>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</si>
  <si>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</si>
  <si>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</si>
  <si>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</si>
  <si>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</si>
  <si>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</si>
  <si>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</si>
  <si>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</si>
  <si>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</si>
  <si>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</si>
  <si>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</si>
  <si>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</si>
  <si>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</si>
  <si>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</si>
  <si>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</si>
  <si>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</si>
  <si>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</si>
  <si>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</si>
  <si>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</si>
  <si>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</si>
  <si>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</si>
  <si>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</si>
  <si>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</si>
  <si>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</si>
  <si>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</si>
  <si>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</si>
  <si>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</si>
  <si>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</si>
  <si>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</si>
  <si>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</si>
  <si>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</si>
  <si>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</si>
  <si>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</si>
  <si>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</si>
  <si>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</si>
  <si>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</si>
  <si>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</si>
  <si>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</si>
  <si>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</si>
  <si>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</si>
  <si>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</si>
  <si>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</si>
  <si>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</si>
  <si>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</si>
  <si>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</si>
  <si>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</si>
  <si>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</si>
  <si>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</si>
  <si>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</si>
  <si>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</si>
  <si>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</si>
  <si>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</si>
  <si>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</si>
  <si>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</si>
  <si>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</si>
  <si>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</si>
  <si>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</si>
  <si>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</si>
  <si>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</si>
  <si>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</si>
  <si>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</si>
  <si>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</si>
  <si>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</si>
  <si>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</si>
  <si>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</si>
  <si>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</si>
  <si>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</si>
  <si>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</si>
  <si>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</si>
  <si>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</si>
  <si>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</si>
  <si>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</si>
  <si>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</si>
  <si>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</si>
  <si>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</si>
  <si>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</si>
  <si>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</si>
  <si>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</si>
  <si>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</si>
  <si>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</si>
  <si>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</si>
  <si>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</si>
  <si>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</si>
  <si>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</si>
  <si>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</si>
  <si>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</si>
  <si>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</si>
  <si>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</si>
  <si>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</si>
  <si>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</si>
  <si>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</si>
  <si>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</si>
  <si>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</si>
  <si>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</si>
  <si>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</si>
  <si>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</si>
  <si>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</si>
  <si>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</si>
  <si>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</si>
  <si>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</si>
  <si>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</si>
  <si>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</si>
  <si>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</si>
  <si>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</si>
  <si>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</si>
  <si>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</si>
  <si>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</si>
  <si>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</si>
  <si>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</si>
  <si>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</si>
  <si>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</si>
  <si>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</si>
  <si>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</si>
  <si>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</si>
  <si>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</si>
  <si>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</si>
  <si>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</si>
  <si>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</si>
  <si>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</si>
  <si>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</si>
  <si>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</si>
  <si>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</si>
  <si>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</si>
  <si>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</si>
  <si>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</si>
  <si>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</si>
  <si>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</si>
  <si>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</si>
  <si>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</si>
  <si>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</si>
  <si>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</si>
  <si>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</si>
  <si>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</si>
  <si>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</si>
  <si>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</si>
  <si>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</si>
  <si>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</si>
  <si>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</si>
  <si>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</si>
  <si>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</si>
  <si>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</si>
  <si>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</si>
  <si>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</si>
  <si>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</si>
  <si>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</si>
  <si>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</si>
  <si>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</si>
  <si>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</si>
  <si>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</si>
  <si>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</si>
  <si>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</si>
  <si>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</si>
  <si>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</si>
  <si>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</si>
  <si>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</si>
  <si>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</si>
  <si>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</si>
  <si>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</si>
  <si>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</si>
  <si>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</si>
  <si>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</si>
  <si>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</si>
  <si>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</si>
  <si>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</si>
  <si>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</si>
  <si>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</si>
  <si>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</si>
  <si>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</si>
  <si>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</si>
  <si>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</si>
  <si>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</si>
  <si>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</si>
  <si>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</si>
  <si>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</si>
  <si>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</si>
  <si>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</si>
  <si>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</si>
  <si>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</si>
  <si>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</si>
  <si>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</si>
  <si>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</si>
  <si>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</si>
  <si>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</si>
  <si>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</si>
  <si>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</si>
  <si>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</si>
  <si>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</si>
  <si>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</si>
  <si>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</si>
  <si>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</si>
  <si>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</si>
  <si>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</si>
  <si>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</si>
  <si>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</si>
  <si>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</si>
  <si>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</si>
  <si>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</si>
  <si>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</si>
  <si>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</si>
  <si>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</si>
  <si>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</si>
  <si>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</si>
  <si>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</si>
  <si>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</si>
  <si>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</si>
  <si>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</si>
  <si>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</si>
  <si>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</si>
  <si>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</si>
  <si>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</si>
  <si>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</si>
  <si>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</si>
  <si>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</si>
  <si>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</si>
  <si>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</si>
  <si>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</si>
  <si>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</si>
  <si>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</si>
  <si>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</si>
  <si>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</si>
  <si>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</si>
  <si>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</si>
  <si>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</si>
  <si>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</si>
  <si>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</si>
  <si>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</si>
  <si>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</si>
  <si>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</si>
  <si>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</si>
  <si>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</si>
  <si>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</si>
  <si>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</si>
  <si>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</si>
  <si>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</si>
  <si>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</si>
  <si>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</si>
  <si>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</si>
  <si>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</si>
  <si>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</si>
  <si>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</si>
  <si>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</si>
  <si>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</si>
  <si>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</si>
  <si>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</si>
  <si>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</si>
  <si>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</si>
  <si>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</si>
  <si>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</si>
  <si>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</si>
  <si>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</si>
  <si>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</si>
  <si>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</si>
  <si>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</si>
  <si>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</si>
  <si>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</si>
  <si>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</si>
  <si>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</si>
  <si>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</si>
  <si>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</si>
  <si>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</si>
  <si>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</si>
  <si>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</si>
  <si>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</si>
  <si>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</si>
  <si>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</si>
  <si>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</si>
  <si>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</si>
  <si>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</si>
  <si>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</si>
  <si>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</si>
  <si>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</si>
  <si>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</si>
  <si>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</si>
  <si>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</si>
  <si>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</si>
  <si>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</si>
  <si>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</si>
  <si>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</si>
  <si>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</si>
  <si>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</si>
  <si>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</si>
  <si>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</si>
  <si>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</si>
  <si>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</si>
  <si>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</si>
  <si>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</si>
  <si>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</si>
  <si>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</si>
  <si>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</si>
  <si>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</si>
  <si>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</si>
  <si>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</si>
  <si>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</si>
  <si>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</si>
  <si>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</si>
  <si>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</si>
  <si>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</si>
  <si>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</si>
  <si>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</si>
  <si>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</si>
  <si>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</si>
  <si>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</si>
  <si>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</si>
  <si>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</si>
  <si>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</si>
  <si>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</si>
  <si>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</si>
  <si>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</si>
  <si>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</si>
  <si>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</si>
  <si>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</si>
  <si>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</si>
  <si>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</si>
  <si>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</si>
  <si>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</si>
  <si>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</si>
  <si>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</si>
  <si>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</si>
  <si>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</si>
  <si>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</si>
  <si>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</si>
  <si>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</si>
  <si>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</si>
  <si>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</si>
  <si>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</si>
  <si>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</si>
  <si>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</si>
  <si>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</si>
  <si>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</si>
  <si>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</si>
  <si>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</si>
  <si>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</si>
  <si>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</si>
  <si>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</si>
  <si>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</si>
  <si>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</si>
  <si>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</si>
  <si>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</si>
  <si>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</si>
  <si>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</si>
  <si>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</si>
  <si>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</si>
  <si>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</si>
  <si>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</si>
  <si>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</si>
  <si>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</si>
  <si>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</si>
  <si>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</si>
  <si>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</si>
  <si>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</si>
  <si>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</si>
  <si>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</si>
  <si>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</si>
  <si>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</si>
  <si>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</si>
  <si>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</si>
  <si>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</si>
  <si>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</si>
  <si>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</si>
  <si>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</si>
  <si>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</si>
  <si>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</si>
  <si>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</si>
  <si>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</si>
  <si>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</si>
  <si>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</si>
  <si>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</si>
  <si>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</si>
  <si>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</si>
  <si>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</si>
  <si>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</si>
  <si>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</si>
  <si>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</si>
  <si>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</si>
  <si>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</si>
  <si>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</si>
  <si>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</si>
  <si>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</si>
  <si>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</si>
  <si>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</si>
  <si>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</si>
  <si>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</si>
  <si>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</si>
  <si>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</si>
  <si>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</si>
  <si>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</si>
  <si>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</si>
  <si>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</si>
  <si>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</si>
  <si>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</si>
  <si>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</si>
  <si>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</si>
  <si>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</si>
  <si>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</si>
  <si>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</si>
  <si>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</si>
  <si>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</si>
  <si>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</si>
  <si>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</si>
  <si>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</si>
  <si>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</si>
  <si>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</si>
  <si>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</si>
  <si>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</si>
  <si>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</si>
  <si>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</si>
  <si>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</si>
  <si>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</si>
  <si>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</si>
  <si>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</si>
  <si>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</si>
  <si>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</si>
  <si>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</si>
  <si>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</si>
  <si>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</si>
  <si>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</si>
  <si>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</si>
  <si>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</si>
  <si>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</si>
  <si>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</si>
  <si>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</si>
  <si>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</si>
  <si>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</si>
  <si>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</si>
  <si>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</si>
  <si>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</si>
  <si>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</si>
  <si>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</si>
  <si>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</si>
  <si>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</si>
  <si>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</si>
  <si>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</si>
  <si>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</si>
  <si>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</si>
  <si>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</si>
  <si>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</si>
  <si>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</si>
  <si>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</si>
  <si>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</si>
  <si>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</si>
  <si>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</si>
  <si>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</si>
  <si>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</si>
  <si>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</si>
  <si>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</si>
  <si>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</si>
  <si>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</si>
  <si>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</si>
  <si>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</si>
  <si>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</si>
  <si>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</si>
  <si>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</si>
  <si>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</si>
  <si>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</si>
  <si>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</si>
  <si>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</si>
  <si>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</si>
  <si>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</si>
  <si>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</si>
  <si>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</si>
  <si>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</si>
  <si>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</si>
  <si>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</si>
  <si>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</si>
  <si>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</si>
  <si>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</si>
  <si>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</si>
  <si>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</si>
  <si>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</si>
  <si>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</si>
  <si>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</si>
  <si>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</si>
  <si>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</si>
  <si>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</si>
  <si>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</si>
  <si>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</si>
  <si>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</si>
  <si>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</si>
  <si>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</si>
  <si>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</si>
  <si>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</si>
  <si>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</si>
  <si>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</si>
  <si>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</si>
  <si>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</si>
  <si>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</si>
  <si>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</si>
  <si>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</si>
  <si>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</si>
  <si>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</si>
  <si>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</si>
  <si>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</si>
  <si>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</si>
  <si>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</si>
  <si>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</si>
  <si>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</si>
  <si>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</si>
  <si>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</si>
  <si>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</si>
  <si>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</si>
  <si>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</si>
  <si>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</si>
  <si>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</si>
  <si>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</si>
  <si>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</si>
  <si>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</si>
  <si>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</si>
  <si>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</si>
  <si>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</si>
  <si>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</si>
  <si>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</si>
  <si>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</si>
  <si>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</si>
  <si>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</si>
  <si>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</si>
  <si>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</si>
  <si>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</si>
  <si>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</si>
  <si>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</si>
  <si>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</si>
  <si>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</si>
  <si>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</si>
  <si>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</si>
  <si>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</si>
  <si>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</si>
  <si>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</si>
  <si>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</si>
  <si>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</si>
  <si>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</si>
  <si>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</si>
  <si>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</si>
  <si>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</si>
  <si>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</si>
  <si>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</si>
  <si>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</si>
  <si>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</si>
  <si>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</si>
  <si>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</si>
  <si>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</si>
  <si>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</si>
  <si>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</si>
  <si>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</si>
  <si>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</si>
  <si>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</si>
  <si>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</si>
  <si>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</si>
  <si>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</si>
  <si>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</si>
  <si>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</si>
  <si>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</si>
  <si>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</si>
  <si>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</si>
  <si>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</si>
  <si>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</si>
  <si>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</si>
  <si>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</si>
  <si>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</si>
  <si>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</si>
  <si>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</si>
  <si>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</si>
  <si>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</si>
  <si>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</si>
  <si>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</si>
  <si>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</si>
  <si>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</si>
  <si>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</si>
  <si>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</si>
  <si>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</si>
  <si>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</si>
  <si>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</si>
  <si>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</si>
  <si>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</si>
  <si>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</si>
  <si>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</si>
  <si>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</si>
  <si>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</si>
  <si>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</si>
  <si>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</si>
  <si>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</si>
  <si>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</si>
  <si>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</si>
  <si>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</si>
  <si>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</si>
  <si>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</si>
  <si>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</si>
  <si>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</si>
  <si>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</si>
  <si>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</si>
  <si>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</si>
  <si>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</si>
  <si>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</si>
  <si>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</si>
  <si>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</si>
  <si>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</si>
  <si>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</si>
  <si>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</si>
  <si>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</si>
  <si>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</si>
  <si>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</si>
  <si>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</si>
  <si>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</si>
  <si>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</si>
  <si>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</si>
  <si>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</si>
  <si>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</si>
  <si>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</si>
  <si>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</si>
  <si>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</si>
  <si>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</si>
  <si>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</si>
  <si>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</si>
  <si>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</si>
  <si>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</si>
  <si>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</si>
  <si>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</si>
  <si>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</si>
  <si>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</si>
  <si>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</si>
  <si>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</si>
  <si>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</si>
  <si>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</si>
  <si>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</si>
  <si>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</si>
  <si>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</si>
  <si>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</si>
  <si>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</si>
  <si>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</si>
  <si>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</si>
  <si>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</si>
  <si>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</si>
  <si>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</si>
  <si>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</si>
  <si>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</si>
  <si>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</si>
  <si>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</si>
  <si>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</si>
  <si>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</si>
  <si>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</si>
  <si>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</si>
  <si>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</si>
  <si>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</si>
  <si>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</si>
  <si>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</si>
  <si>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</si>
  <si>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</si>
  <si>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</si>
  <si>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</si>
  <si>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</si>
  <si>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</si>
  <si>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</si>
  <si>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</si>
  <si>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</si>
  <si>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</si>
  <si>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</si>
  <si>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</si>
  <si>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</si>
  <si>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</si>
  <si>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</si>
  <si>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</si>
  <si>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</si>
  <si>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</si>
  <si>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</si>
  <si>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</si>
  <si>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</si>
  <si>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</si>
  <si>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</si>
  <si>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</si>
  <si>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</si>
  <si>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</si>
  <si>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</si>
  <si>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</si>
  <si>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</si>
  <si>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</si>
  <si>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</si>
  <si>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</si>
  <si>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</si>
  <si>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</si>
  <si>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</si>
  <si>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</si>
  <si>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</si>
  <si>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</si>
  <si>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</si>
  <si>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</si>
  <si>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</si>
  <si>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</si>
  <si>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</si>
  <si>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</si>
  <si>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</si>
  <si>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</si>
  <si>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</si>
  <si>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</si>
  <si>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</si>
  <si>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</si>
  <si>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</si>
  <si>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</si>
  <si>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</si>
  <si>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</si>
  <si>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</si>
  <si>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</si>
  <si>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</si>
  <si>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</si>
  <si>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</si>
  <si>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</si>
  <si>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</si>
  <si>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</si>
  <si>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</si>
  <si>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</si>
  <si>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</si>
  <si>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</si>
  <si>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</si>
  <si>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</si>
  <si>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</si>
  <si>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</si>
  <si>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</si>
  <si>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</si>
  <si>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</si>
  <si>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</si>
  <si>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</si>
  <si>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</si>
  <si>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</si>
  <si>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</si>
  <si>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</si>
  <si>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</si>
  <si>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</si>
  <si>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</si>
  <si>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</si>
  <si>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</si>
  <si>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</si>
  <si>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</si>
  <si>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</si>
  <si>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</si>
  <si>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</si>
  <si>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</si>
  <si>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</si>
  <si>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</si>
  <si>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</si>
  <si>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</si>
  <si>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</si>
  <si>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</si>
  <si>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</si>
  <si>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</si>
  <si>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</si>
  <si>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</si>
  <si>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</si>
  <si>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</si>
  <si>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</si>
  <si>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</si>
  <si>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</si>
  <si>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</si>
  <si>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</si>
  <si>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</si>
  <si>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</si>
  <si>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</si>
  <si>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</si>
  <si>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</si>
  <si>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</si>
  <si>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</si>
  <si>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</si>
  <si>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</si>
  <si>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</si>
  <si>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</si>
  <si>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</si>
  <si>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</si>
  <si>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</si>
  <si>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</si>
  <si>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</si>
  <si>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</si>
  <si>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</si>
  <si>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</si>
  <si>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</si>
  <si>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</si>
  <si>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</si>
  <si>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</si>
  <si>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</si>
  <si>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</si>
  <si>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</si>
  <si>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</si>
  <si>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</si>
  <si>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</si>
  <si>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</si>
  <si>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</si>
  <si>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</si>
  <si>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</si>
  <si>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</si>
  <si>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</si>
  <si>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</si>
  <si>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</si>
  <si>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</si>
  <si>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</si>
  <si>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</si>
  <si>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</si>
  <si>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</si>
  <si>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</si>
  <si>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</si>
  <si>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</si>
  <si>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</si>
  <si>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</si>
  <si>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</si>
  <si>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</si>
  <si>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</si>
  <si>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</si>
  <si>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</si>
  <si>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</si>
  <si>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</si>
  <si>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</si>
  <si>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</si>
  <si>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</si>
  <si>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</si>
  <si>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</si>
  <si>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</si>
  <si>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</si>
  <si>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</si>
  <si>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</si>
  <si>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</si>
  <si>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</si>
  <si>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</si>
  <si>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</si>
  <si>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</si>
  <si>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</si>
  <si>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</si>
  <si>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</si>
  <si>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</si>
  <si>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</si>
  <si>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</si>
  <si>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</si>
  <si>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</si>
  <si>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</si>
  <si>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</si>
  <si>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</si>
  <si>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</si>
  <si>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</si>
  <si>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</si>
  <si>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</si>
  <si>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</si>
  <si>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</si>
  <si>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</si>
  <si>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</si>
  <si>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</si>
  <si>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</si>
  <si>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</si>
  <si>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</si>
  <si>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</si>
  <si>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</si>
  <si>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</si>
  <si>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</si>
  <si>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</si>
  <si>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</si>
  <si>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</si>
  <si>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</si>
  <si>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</si>
  <si>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</si>
  <si>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</si>
  <si>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</si>
  <si>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</si>
  <si>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</si>
  <si>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</si>
  <si>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</si>
  <si>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</si>
  <si>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</si>
  <si>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</si>
  <si>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</si>
  <si>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</si>
  <si>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</si>
  <si>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</si>
  <si>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</si>
  <si>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</si>
  <si>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</si>
  <si>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</si>
  <si>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</si>
  <si>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</si>
  <si>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</si>
  <si>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</si>
  <si>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</si>
  <si>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</si>
  <si>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</si>
  <si>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</si>
  <si>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</si>
  <si>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</si>
  <si>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</si>
  <si>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</si>
  <si>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</si>
  <si>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</si>
  <si>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</si>
  <si>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</si>
  <si>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</si>
  <si>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</si>
  <si>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</si>
  <si>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</si>
  <si>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</si>
  <si>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</si>
  <si>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</si>
  <si>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</si>
  <si>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</si>
  <si>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</si>
  <si>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</si>
  <si>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</si>
  <si>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</si>
  <si>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</si>
  <si>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</si>
  <si>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</si>
  <si>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</si>
  <si>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</si>
  <si>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</si>
  <si>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</si>
  <si>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</si>
  <si>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</si>
  <si>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</si>
  <si>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</si>
  <si>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</si>
  <si>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</si>
  <si>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</si>
  <si>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</si>
  <si>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</si>
  <si>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</si>
  <si>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</si>
  <si>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</si>
  <si>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</si>
  <si>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</si>
  <si>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</si>
  <si>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</si>
  <si>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</si>
  <si>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</si>
  <si>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</si>
  <si>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</si>
  <si>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</si>
  <si>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</si>
  <si>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</si>
  <si>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</si>
  <si>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</si>
  <si>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</si>
  <si>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</si>
  <si>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</si>
  <si>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</si>
  <si>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</si>
  <si>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</si>
  <si>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</si>
  <si>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</si>
  <si>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</si>
  <si>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</si>
  <si>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</si>
  <si>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</si>
  <si>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</si>
  <si>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</si>
  <si>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</si>
  <si>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</si>
  <si>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</si>
  <si>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</si>
  <si>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</si>
  <si>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</si>
  <si>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</si>
  <si>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</si>
  <si>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</si>
  <si>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</si>
  <si>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</si>
  <si>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</si>
  <si>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</si>
  <si>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</si>
  <si>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</si>
  <si>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</si>
  <si>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</si>
  <si>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</si>
  <si>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</si>
  <si>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</si>
  <si>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</si>
  <si>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</si>
  <si>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</si>
  <si>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</si>
  <si>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</si>
  <si>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</si>
  <si>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</si>
  <si>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</si>
  <si>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</si>
  <si>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</si>
  <si>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</si>
  <si>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</si>
  <si>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</si>
  <si>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</si>
  <si>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</si>
  <si>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</si>
  <si>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</si>
  <si>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</si>
  <si>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</si>
  <si>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</si>
  <si>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</si>
  <si>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</si>
  <si>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</si>
  <si>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</si>
  <si>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</si>
  <si>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</si>
  <si>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</si>
  <si>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</si>
  <si>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</si>
  <si>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</si>
  <si>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</si>
  <si>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</si>
  <si>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</si>
  <si>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</si>
  <si>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</si>
  <si>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</si>
  <si>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</si>
  <si>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</si>
  <si>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</si>
  <si>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</si>
  <si>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</si>
  <si>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</si>
  <si>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</si>
  <si>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</si>
  <si>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</si>
  <si>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</si>
  <si>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</si>
  <si>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</si>
  <si>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</si>
  <si>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</si>
  <si>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</si>
  <si>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</si>
  <si>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</si>
  <si>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</si>
  <si>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</si>
  <si>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</si>
  <si>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</si>
  <si>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</si>
  <si>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</si>
  <si>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</si>
  <si>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</si>
  <si>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</si>
  <si>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</si>
  <si>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</si>
  <si>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</si>
  <si>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</si>
  <si>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</si>
  <si>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</si>
  <si>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</si>
  <si>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</si>
  <si>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</si>
  <si>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</si>
  <si>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</si>
  <si>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</si>
  <si>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</si>
  <si>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</si>
  <si>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</si>
  <si>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</si>
  <si>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</si>
  <si>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</si>
  <si>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</si>
  <si>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</si>
  <si>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</si>
  <si>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</si>
  <si>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</si>
  <si>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</si>
  <si>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</si>
  <si>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</si>
  <si>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</si>
  <si>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</si>
  <si>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</si>
  <si>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</si>
  <si>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</si>
  <si>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</si>
  <si>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</si>
  <si>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</si>
  <si>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</si>
  <si>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</si>
  <si>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</si>
  <si>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</si>
  <si>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</si>
  <si>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</si>
  <si>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</si>
  <si>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</si>
  <si>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</si>
  <si>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</si>
  <si>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</si>
  <si>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</si>
  <si>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</si>
  <si>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</si>
  <si>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</si>
  <si>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</si>
  <si>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</si>
  <si>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</si>
  <si>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</si>
  <si>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</si>
  <si>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</si>
  <si>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</si>
  <si>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</si>
  <si>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</si>
  <si>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</si>
  <si>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</si>
  <si>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</si>
  <si>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</si>
  <si>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</si>
  <si>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</si>
  <si>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</si>
  <si>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</si>
  <si>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</si>
  <si>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</si>
  <si>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</si>
  <si>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</si>
  <si>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</si>
  <si>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</si>
  <si>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</si>
  <si>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</si>
  <si>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</si>
  <si>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</si>
  <si>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</si>
  <si>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</si>
  <si>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</si>
  <si>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</si>
  <si>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</si>
  <si>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</si>
  <si>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</si>
  <si>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</si>
  <si>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</si>
  <si>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</si>
  <si>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</si>
  <si>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</si>
  <si>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</si>
  <si>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</si>
  <si>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</si>
  <si>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</si>
  <si>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</si>
  <si>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</si>
  <si>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</si>
  <si>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</si>
  <si>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</si>
  <si>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</si>
  <si>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</si>
  <si>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</si>
  <si>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</si>
  <si>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</si>
  <si>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</si>
  <si>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</si>
  <si>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</si>
  <si>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</si>
  <si>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</si>
  <si>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</si>
  <si>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</si>
  <si>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</si>
  <si>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</si>
  <si>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</si>
  <si>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</si>
  <si>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</si>
  <si>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</si>
  <si>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</si>
  <si>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</si>
  <si>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</si>
  <si>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</si>
  <si>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</si>
  <si>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</si>
  <si>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</si>
  <si>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</si>
  <si>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</si>
  <si>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</si>
  <si>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</si>
  <si>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</si>
  <si>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</si>
  <si>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</si>
  <si>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</si>
  <si>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</si>
  <si>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</si>
  <si>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</si>
  <si>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</si>
  <si>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</si>
  <si>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</si>
  <si>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</si>
  <si>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</si>
  <si>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</si>
  <si>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</si>
  <si>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</si>
  <si>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</si>
  <si>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</si>
  <si>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</si>
  <si>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</si>
  <si>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</si>
  <si>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</si>
  <si>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</si>
  <si>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</si>
  <si>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</si>
  <si>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</si>
  <si>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</si>
  <si>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</si>
  <si>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</si>
  <si>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</si>
  <si>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</si>
  <si>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</si>
  <si>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</si>
  <si>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</si>
  <si>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</si>
  <si>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</si>
  <si>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</si>
  <si>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</si>
  <si>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</si>
  <si>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</si>
  <si>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</si>
  <si>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</si>
  <si>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</si>
  <si>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</si>
  <si>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</si>
  <si>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</si>
  <si>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</si>
  <si>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</si>
  <si>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</si>
  <si>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</si>
  <si>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</si>
  <si>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</si>
  <si>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</si>
  <si>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</si>
  <si>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</si>
  <si>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</si>
  <si>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</si>
  <si>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</si>
  <si>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</si>
  <si>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</si>
  <si>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</si>
  <si>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</si>
  <si>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</si>
  <si>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</si>
  <si>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</si>
  <si>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</si>
  <si>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</si>
  <si>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</si>
  <si>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</si>
  <si>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</si>
  <si>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</si>
  <si>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</si>
  <si>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</si>
  <si>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</si>
  <si>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</si>
  <si>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</si>
  <si>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</si>
  <si>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</si>
  <si>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</si>
  <si>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</si>
  <si>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</si>
  <si>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</si>
  <si>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</si>
  <si>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</si>
  <si>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</si>
  <si>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</si>
  <si>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</si>
  <si>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</si>
  <si>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</si>
  <si>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</si>
  <si>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</si>
  <si>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</si>
  <si>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</si>
  <si>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</si>
  <si>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</si>
  <si>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</si>
  <si>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</si>
  <si>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</si>
  <si>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</si>
  <si>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</si>
  <si>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</si>
  <si>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</si>
  <si>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</si>
  <si>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</si>
  <si>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</si>
  <si>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</si>
  <si>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</si>
  <si>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</si>
  <si>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</si>
  <si>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</si>
  <si>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</si>
  <si>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</si>
  <si>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</si>
  <si>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</si>
  <si>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</si>
  <si>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</si>
  <si>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</si>
  <si>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</si>
  <si>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</si>
  <si>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</si>
  <si>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</si>
  <si>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</si>
  <si>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</si>
  <si>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</si>
  <si>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</si>
  <si>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</si>
  <si>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</si>
  <si>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</si>
  <si>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</si>
  <si>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</si>
  <si>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</si>
  <si>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</si>
  <si>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</si>
  <si>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</si>
  <si>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</si>
  <si>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</si>
  <si>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</si>
  <si>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</si>
  <si>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</si>
  <si>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</si>
  <si>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</si>
  <si>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</si>
  <si>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</si>
  <si>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</si>
  <si>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</si>
  <si>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</si>
  <si>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</si>
  <si>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</si>
  <si>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</si>
  <si>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</si>
  <si>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</si>
  <si>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</si>
  <si>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</si>
  <si>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</si>
  <si>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</si>
  <si>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</si>
  <si>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</si>
  <si>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</si>
  <si>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</si>
  <si>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</si>
  <si>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</si>
  <si>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</si>
  <si>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</si>
  <si>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</si>
  <si>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</si>
  <si>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</si>
  <si>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</si>
  <si>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</si>
  <si>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</si>
  <si>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</si>
  <si>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</si>
  <si>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</si>
  <si>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</si>
  <si>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</si>
  <si>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</si>
  <si>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</si>
  <si>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</si>
  <si>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</si>
  <si>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</si>
  <si>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</si>
  <si>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</si>
  <si>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</si>
  <si>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</si>
  <si>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</si>
  <si>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</si>
  <si>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</si>
  <si>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</si>
  <si>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</si>
  <si>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</si>
  <si>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</si>
  <si>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</si>
  <si>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</si>
  <si>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</si>
  <si>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</si>
  <si>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</si>
  <si>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</si>
  <si>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</si>
  <si>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</si>
  <si>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</si>
  <si>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</si>
  <si>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</si>
  <si>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</si>
  <si>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</si>
  <si>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</si>
  <si>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</si>
  <si>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</si>
  <si>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</si>
  <si>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</si>
  <si>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</si>
  <si>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</si>
  <si>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</si>
  <si>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</si>
  <si>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</si>
  <si>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</si>
  <si>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</si>
  <si>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</si>
  <si>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</si>
  <si>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</si>
  <si>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</si>
  <si>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</si>
  <si>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</si>
  <si>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</si>
  <si>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</si>
  <si>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</si>
  <si>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</si>
  <si>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</si>
  <si>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</si>
  <si>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</si>
  <si>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</si>
  <si>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</si>
  <si>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</si>
  <si>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</si>
  <si>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</si>
  <si>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</si>
  <si>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</si>
  <si>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</si>
  <si>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</si>
  <si>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</si>
  <si>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</si>
  <si>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</si>
  <si>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</si>
  <si>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</si>
  <si>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</si>
  <si>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</si>
  <si>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</si>
  <si>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</si>
  <si>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</si>
  <si>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</si>
  <si>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</si>
  <si>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</si>
  <si>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</si>
  <si>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</si>
  <si>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</si>
  <si>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</si>
  <si>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</si>
  <si>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</si>
  <si>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</si>
  <si>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</si>
  <si>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</si>
  <si>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</si>
  <si>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</si>
  <si>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</si>
  <si>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</si>
  <si>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</si>
  <si>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</si>
  <si>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</si>
  <si>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</si>
  <si>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</si>
  <si>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</si>
  <si>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</si>
  <si>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</si>
  <si>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</si>
  <si>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</si>
  <si>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</si>
  <si>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</si>
  <si>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</si>
  <si>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</si>
  <si>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</si>
  <si>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</si>
  <si>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</si>
  <si>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</si>
  <si>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</si>
  <si>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</si>
  <si>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</si>
  <si>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</si>
  <si>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</si>
  <si>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</si>
  <si>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</si>
  <si>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</si>
  <si>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</si>
  <si>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</si>
  <si>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</si>
  <si>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</si>
  <si>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</si>
  <si>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</si>
  <si>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</si>
  <si>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</si>
  <si>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</si>
  <si>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</si>
  <si>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</si>
  <si>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</si>
  <si>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</si>
  <si>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</si>
  <si>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</si>
  <si>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</si>
  <si>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</si>
  <si>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</si>
  <si>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</si>
  <si>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</si>
  <si>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</si>
  <si>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</si>
  <si>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</si>
  <si>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</si>
  <si>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</si>
  <si>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</si>
  <si>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</si>
  <si>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</si>
  <si>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</si>
  <si>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</si>
  <si>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</si>
  <si>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</si>
  <si>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</si>
  <si>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</si>
  <si>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</si>
  <si>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</si>
  <si>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</si>
  <si>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</si>
  <si>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</si>
  <si>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</si>
  <si>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</si>
  <si>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</si>
  <si>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</si>
  <si>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</si>
  <si>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</si>
  <si>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</si>
  <si>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</si>
  <si>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</si>
  <si>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</si>
  <si>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</si>
  <si>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</si>
  <si>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</si>
  <si>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</si>
  <si>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</si>
  <si>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</si>
  <si>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</si>
  <si>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</si>
  <si>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</si>
  <si>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</si>
  <si>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</si>
  <si>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</si>
  <si>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</si>
  <si>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</si>
  <si>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</si>
  <si>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</si>
  <si>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</si>
  <si>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</si>
  <si>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</si>
  <si>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</si>
  <si>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</si>
  <si>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</si>
  <si>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</si>
  <si>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</si>
  <si>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</si>
  <si>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</si>
  <si>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</si>
  <si>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</si>
  <si>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</si>
  <si>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</si>
  <si>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</si>
  <si>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</si>
  <si>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</si>
  <si>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</si>
  <si>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</si>
  <si>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</si>
  <si>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</si>
  <si>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</si>
  <si>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</si>
  <si>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</si>
  <si>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</si>
  <si>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</si>
  <si>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</si>
  <si>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</si>
  <si>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</si>
  <si>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</si>
  <si>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</si>
  <si>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</si>
  <si>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</si>
  <si>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</si>
  <si>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</si>
  <si>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</si>
  <si>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</si>
  <si>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</si>
  <si>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</si>
  <si>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</si>
  <si>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</si>
  <si>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</si>
  <si>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</si>
  <si>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</si>
  <si>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</si>
  <si>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</si>
  <si>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</si>
  <si>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</si>
  <si>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</si>
  <si>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</si>
  <si>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</si>
  <si>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</si>
  <si>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</si>
  <si>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</si>
  <si>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</si>
  <si>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</si>
  <si>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</si>
  <si>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</si>
  <si>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</si>
  <si>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</si>
  <si>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</si>
  <si>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</si>
  <si>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</si>
  <si>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</si>
  <si>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</si>
  <si>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</si>
  <si>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</si>
  <si>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</si>
  <si>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</si>
  <si>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</si>
  <si>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</si>
  <si>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</si>
  <si>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</si>
  <si>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</si>
  <si>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</si>
  <si>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</si>
  <si>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</si>
  <si>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</si>
  <si>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</si>
  <si>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</si>
  <si>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</si>
  <si>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</si>
  <si>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</si>
  <si>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</si>
  <si>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</si>
  <si>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</si>
  <si>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</si>
  <si>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</si>
  <si>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</si>
  <si>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</si>
  <si>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</si>
  <si>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</si>
  <si>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</si>
  <si>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</si>
  <si>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</si>
  <si>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</si>
  <si>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</si>
  <si>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</si>
  <si>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</si>
  <si>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</si>
  <si>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</si>
  <si>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</si>
  <si>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</si>
  <si>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</si>
  <si>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</si>
  <si>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</si>
  <si>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</si>
  <si>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</si>
  <si>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</si>
  <si>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</si>
  <si>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</si>
  <si>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</si>
  <si>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</si>
  <si>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</si>
  <si>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</si>
  <si>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</si>
  <si>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</si>
  <si>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</si>
  <si>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</si>
  <si>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</si>
  <si>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</si>
  <si>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</si>
  <si>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</si>
  <si>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</si>
  <si>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</si>
  <si>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</si>
  <si>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</si>
  <si>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</si>
  <si>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</si>
  <si>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</si>
  <si>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</si>
  <si>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</si>
  <si>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</si>
  <si>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</si>
  <si>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</si>
  <si>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</si>
  <si>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</si>
  <si>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</si>
  <si>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</si>
  <si>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</si>
  <si>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</si>
  <si>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</si>
  <si>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</si>
  <si>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</si>
  <si>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</si>
  <si>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</si>
  <si>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</si>
  <si>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</si>
  <si>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</si>
  <si>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</si>
  <si>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</si>
  <si>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</si>
  <si>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</si>
  <si>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</si>
  <si>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</si>
  <si>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</si>
  <si>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</si>
  <si>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</si>
  <si>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</si>
  <si>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</si>
  <si>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</si>
  <si>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</si>
  <si>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</si>
  <si>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</si>
  <si>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</si>
  <si>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</si>
  <si>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</si>
  <si>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</si>
  <si>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</si>
  <si>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</si>
  <si>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</si>
  <si>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</si>
  <si>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</si>
  <si>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</si>
  <si>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</si>
  <si>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</si>
  <si>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</si>
  <si>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</si>
  <si>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</si>
  <si>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</si>
  <si>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</si>
  <si>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</si>
  <si>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</si>
  <si>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</si>
  <si>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</si>
  <si>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</si>
  <si>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</si>
  <si>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</si>
  <si>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</si>
  <si>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</si>
  <si>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</si>
  <si>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</si>
  <si>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</si>
  <si>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</si>
  <si>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</si>
  <si>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</si>
  <si>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</si>
  <si>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</si>
  <si>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</si>
  <si>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</si>
  <si>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</si>
  <si>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</si>
  <si>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</si>
  <si>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</si>
  <si>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</si>
  <si>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</si>
  <si>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</si>
  <si>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</si>
  <si>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</si>
  <si>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</si>
  <si>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</si>
  <si>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</si>
  <si>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</si>
  <si>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</si>
  <si>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</si>
  <si>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</si>
  <si>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</si>
  <si>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</si>
  <si>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</si>
  <si>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</si>
  <si>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</si>
  <si>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</si>
  <si>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</si>
  <si>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</si>
  <si>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</si>
  <si>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</si>
  <si>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</si>
  <si>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</si>
  <si>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</si>
  <si>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</si>
  <si>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</si>
  <si>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</si>
  <si>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</si>
  <si>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</si>
  <si>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</si>
  <si>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</si>
  <si>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</si>
  <si>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</si>
  <si>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</si>
  <si>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</si>
  <si>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</si>
  <si>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</si>
  <si>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</si>
  <si>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</si>
  <si>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</si>
  <si>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</si>
  <si>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</si>
  <si>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</si>
  <si>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</si>
  <si>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</si>
  <si>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</si>
  <si>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</si>
  <si>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</si>
  <si>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</si>
  <si>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</si>
  <si>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</si>
  <si>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</si>
  <si>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</si>
  <si>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</si>
  <si>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</si>
  <si>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</si>
  <si>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</si>
  <si>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</si>
  <si>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</si>
  <si>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</si>
  <si>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</si>
  <si>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</si>
  <si>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</si>
  <si>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</si>
  <si>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</si>
  <si>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</si>
  <si>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</si>
  <si>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</si>
  <si>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</si>
  <si>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</si>
  <si>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</si>
  <si>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</si>
  <si>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</si>
  <si>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</si>
  <si>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</si>
  <si>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</si>
  <si>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</si>
  <si>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</si>
  <si>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</si>
  <si>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</si>
  <si>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</si>
  <si>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</si>
  <si>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</si>
  <si>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</si>
  <si>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</si>
  <si>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</si>
  <si>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</si>
  <si>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</si>
  <si>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</si>
  <si>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</si>
  <si>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</si>
  <si>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</si>
  <si>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</si>
  <si>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</si>
  <si>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</si>
  <si>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</si>
  <si>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</si>
  <si>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</si>
  <si>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</si>
  <si>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</si>
  <si>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</si>
  <si>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</si>
  <si>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</si>
  <si>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</si>
  <si>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</si>
  <si>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</si>
  <si>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</si>
  <si>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</si>
  <si>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</si>
  <si>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</si>
  <si>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</si>
  <si>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</si>
  <si>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</si>
  <si>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</si>
  <si>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</si>
  <si>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</si>
  <si>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</si>
  <si>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</si>
  <si>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</si>
  <si>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</si>
  <si>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</si>
  <si>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</si>
  <si>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</si>
  <si>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</si>
  <si>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</si>
  <si>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</si>
  <si>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</si>
  <si>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</si>
  <si>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</si>
  <si>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</si>
  <si>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</si>
  <si>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</si>
  <si>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</si>
  <si>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</si>
  <si>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</si>
  <si>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</si>
  <si>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</si>
  <si>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</si>
  <si>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</si>
  <si>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</si>
  <si>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</si>
  <si>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</si>
  <si>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</si>
  <si>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</si>
  <si>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</si>
  <si>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</si>
  <si>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</si>
  <si>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</si>
  <si>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</si>
  <si>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</si>
  <si>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</si>
  <si>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</si>
  <si>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</si>
  <si>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</si>
  <si>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</si>
  <si>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</si>
  <si>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</si>
  <si>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</si>
  <si>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</si>
  <si>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</si>
  <si>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</si>
  <si>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</si>
  <si>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</si>
  <si>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</si>
  <si>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</si>
  <si>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</si>
  <si>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</si>
  <si>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</si>
  <si>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</si>
  <si>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</si>
  <si>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</si>
  <si>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</si>
  <si>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</si>
  <si>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</si>
  <si>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</si>
  <si>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</si>
  <si>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</si>
  <si>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</si>
  <si>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</si>
  <si>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</si>
  <si>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</si>
  <si>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</si>
  <si>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</si>
  <si>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</si>
  <si>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</si>
  <si>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</si>
  <si>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</si>
  <si>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</si>
  <si>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</si>
  <si>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</si>
  <si>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</si>
  <si>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</si>
  <si>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</si>
  <si>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</si>
  <si>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</si>
  <si>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</si>
  <si>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</si>
  <si>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</si>
  <si>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</si>
  <si>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</si>
  <si>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</si>
  <si>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</si>
  <si>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</si>
  <si>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</si>
  <si>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</si>
  <si>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</si>
  <si>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</si>
  <si>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</si>
  <si>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</si>
  <si>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</si>
  <si>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</si>
  <si>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</si>
  <si>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</si>
  <si>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</si>
  <si>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</si>
  <si>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</si>
  <si>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</si>
  <si>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</si>
  <si>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</si>
  <si>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</si>
  <si>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</si>
  <si>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</si>
  <si>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</si>
  <si>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</si>
  <si>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</si>
  <si>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</si>
  <si>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</si>
  <si>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</si>
  <si>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</si>
  <si>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</si>
  <si>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</si>
  <si>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</si>
  <si>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</si>
  <si>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</si>
  <si>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</si>
  <si>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</si>
  <si>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</si>
  <si>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</si>
  <si>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</si>
  <si>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</si>
  <si>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</si>
  <si>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</si>
  <si>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</si>
  <si>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</si>
  <si>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</si>
  <si>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</si>
  <si>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</si>
  <si>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</si>
  <si>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</si>
  <si>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</si>
  <si>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</si>
  <si>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</si>
  <si>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</si>
  <si>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</si>
  <si>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</si>
  <si>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</si>
  <si>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</si>
  <si>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</si>
  <si>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</si>
  <si>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</si>
  <si>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</si>
  <si>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</si>
  <si>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</si>
  <si>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</si>
  <si>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</si>
  <si>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</si>
  <si>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</si>
  <si>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</si>
  <si>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</si>
  <si>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</si>
  <si>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</si>
  <si>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</si>
  <si>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</si>
  <si>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</si>
  <si>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</si>
  <si>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</si>
  <si>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</si>
  <si>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</si>
  <si>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</si>
  <si>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</si>
  <si>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</si>
  <si>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</si>
  <si>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</si>
  <si>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</si>
  <si>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</si>
  <si>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</si>
  <si>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</si>
  <si>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</si>
  <si>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</si>
  <si>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</si>
  <si>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</si>
  <si>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</si>
  <si>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</si>
  <si>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</si>
  <si>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</si>
  <si>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</si>
  <si>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</si>
  <si>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</si>
  <si>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</si>
  <si>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</si>
  <si>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</si>
  <si>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</si>
  <si>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</si>
  <si>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</si>
  <si>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</si>
  <si>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</si>
  <si>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</si>
  <si>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</si>
  <si>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</si>
  <si>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</si>
  <si>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</si>
  <si>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</si>
  <si>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</si>
  <si>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</si>
  <si>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</si>
  <si>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</si>
  <si>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</si>
  <si>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</si>
  <si>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</si>
  <si>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</si>
  <si>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</si>
  <si>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</si>
  <si>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</si>
  <si>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</si>
  <si>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</si>
  <si>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</si>
  <si>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</si>
  <si>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</si>
  <si>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</si>
  <si>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</si>
  <si>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</si>
  <si>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</si>
  <si>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</si>
  <si>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</si>
  <si>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</si>
  <si>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</si>
  <si>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</si>
  <si>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</si>
  <si>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</si>
  <si>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</si>
  <si>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</si>
  <si>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</si>
  <si>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</si>
  <si>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</si>
  <si>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</si>
  <si>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</si>
  <si>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</si>
  <si>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</si>
  <si>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</si>
  <si>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</si>
  <si>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</si>
  <si>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</si>
  <si>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</si>
  <si>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</si>
  <si>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</si>
  <si>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</si>
  <si>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</si>
  <si>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</si>
  <si>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</si>
  <si>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</si>
  <si>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</si>
  <si>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</si>
  <si>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</si>
  <si>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</si>
  <si>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</si>
  <si>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</si>
  <si>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</si>
  <si>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</si>
  <si>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</si>
  <si>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</si>
  <si>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</si>
  <si>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</si>
  <si>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</si>
  <si>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</si>
  <si>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</si>
  <si>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</si>
  <si>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</si>
  <si>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</si>
  <si>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</si>
  <si>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</si>
  <si>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</si>
  <si>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</si>
  <si>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</si>
  <si>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</si>
  <si>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</si>
  <si>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</si>
  <si>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</si>
  <si>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</si>
  <si>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</si>
  <si>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</si>
  <si>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</si>
  <si>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</si>
  <si>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</si>
  <si>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</si>
  <si>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</si>
  <si>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</si>
  <si>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</si>
  <si>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</si>
  <si>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</si>
  <si>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</si>
  <si>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</si>
  <si>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</si>
  <si>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</si>
  <si>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</si>
  <si>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</si>
  <si>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</si>
  <si>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</si>
  <si>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</si>
  <si>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</si>
  <si>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</si>
  <si>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</si>
  <si>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</si>
  <si>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</si>
  <si>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</si>
  <si>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</si>
  <si>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</si>
  <si>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</si>
  <si>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</si>
  <si>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</si>
  <si>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</si>
  <si>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</si>
  <si>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</si>
  <si>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</si>
  <si>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</si>
  <si>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</si>
  <si>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</si>
  <si>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</si>
  <si>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</si>
  <si>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</si>
  <si>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</si>
  <si>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</si>
  <si>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</si>
  <si>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</si>
  <si>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</si>
  <si>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</si>
  <si>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</si>
  <si>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</si>
  <si>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</si>
  <si>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</si>
  <si>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</si>
  <si>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</si>
  <si>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</si>
  <si>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</si>
  <si>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</si>
  <si>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</si>
  <si>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</si>
  <si>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</si>
  <si>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</si>
  <si>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</si>
  <si>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</si>
  <si>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</si>
  <si>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</si>
  <si>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</si>
  <si>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</si>
  <si>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</si>
  <si>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</si>
  <si>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</si>
  <si>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</si>
  <si>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</si>
  <si>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</si>
  <si>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</si>
  <si>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</si>
  <si>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</si>
  <si>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</si>
  <si>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</si>
  <si>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</si>
  <si>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</si>
  <si>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</si>
  <si>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</si>
  <si>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</si>
  <si>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</si>
  <si>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</si>
  <si>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</si>
  <si>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</si>
  <si>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</si>
  <si>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</si>
  <si>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</si>
  <si>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</si>
  <si>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</si>
  <si>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</si>
  <si>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</si>
  <si>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</si>
  <si>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</si>
  <si>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</si>
  <si>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</si>
  <si>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</si>
  <si>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</si>
  <si>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</si>
  <si>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</si>
  <si>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</si>
  <si>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</si>
  <si>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</si>
  <si>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</si>
  <si>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</si>
  <si>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</si>
  <si>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</si>
  <si>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</si>
  <si>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</si>
  <si>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</si>
  <si>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</si>
  <si>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</si>
  <si>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</si>
  <si>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</si>
  <si>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</si>
  <si>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</si>
  <si>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</si>
  <si>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</si>
  <si>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</si>
  <si>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</si>
  <si>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</si>
  <si>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</si>
  <si>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</si>
  <si>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</si>
  <si>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</si>
  <si>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</si>
  <si>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</si>
  <si>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</si>
  <si>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</si>
  <si>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</si>
  <si>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</si>
  <si>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</si>
  <si>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</si>
  <si>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</si>
  <si>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</si>
  <si>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</si>
  <si>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</si>
  <si>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</si>
  <si>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</si>
  <si>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</si>
  <si>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</si>
  <si>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</si>
  <si>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</si>
  <si>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</si>
  <si>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</si>
  <si>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</si>
  <si>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</si>
  <si>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</si>
  <si>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</si>
  <si>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</si>
  <si>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</si>
  <si>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</si>
  <si>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</si>
  <si>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</si>
  <si>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</si>
  <si>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</si>
  <si>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</si>
  <si>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</si>
  <si>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</si>
  <si>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</si>
  <si>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</si>
  <si>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</si>
  <si>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</si>
  <si>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</si>
  <si>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</si>
  <si>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</si>
  <si>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</si>
  <si>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</si>
  <si>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</si>
  <si>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</si>
  <si>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</si>
  <si>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</si>
  <si>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</si>
  <si>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</si>
  <si>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</si>
  <si>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</si>
  <si>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</si>
  <si>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</si>
  <si>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</si>
  <si>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</si>
  <si>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</si>
  <si>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</si>
  <si>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</si>
  <si>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</si>
  <si>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</si>
  <si>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</si>
  <si>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</si>
  <si>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</si>
  <si>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</si>
  <si>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</si>
  <si>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</si>
  <si>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</si>
  <si>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</si>
  <si>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</si>
  <si>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</si>
  <si>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</si>
  <si>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</si>
  <si>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</si>
  <si>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</si>
  <si>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</si>
  <si>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</si>
  <si>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</si>
  <si>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</si>
  <si>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</si>
  <si>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</si>
  <si>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</si>
  <si>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</si>
  <si>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</si>
  <si>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</si>
  <si>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</si>
  <si>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</si>
  <si>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</si>
  <si>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</si>
  <si>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</si>
  <si>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</si>
  <si>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</si>
  <si>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</si>
  <si>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</si>
  <si>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</si>
  <si>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</si>
  <si>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</si>
  <si>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</si>
  <si>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</si>
  <si>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</si>
  <si>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</si>
  <si>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</si>
  <si>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</si>
  <si>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</si>
  <si>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</si>
  <si>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</si>
  <si>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</si>
  <si>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</si>
  <si>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</si>
  <si>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</si>
  <si>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</si>
  <si>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</si>
  <si>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</si>
  <si>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</si>
  <si>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</si>
  <si>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</si>
  <si>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</si>
  <si>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</si>
  <si>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</si>
  <si>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</si>
  <si>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</si>
  <si>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</si>
  <si>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</si>
  <si>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</si>
  <si>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</si>
  <si>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</si>
  <si>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</si>
  <si>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</si>
  <si>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</si>
  <si>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</si>
  <si>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</si>
  <si>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</si>
  <si>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</si>
  <si>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</si>
  <si>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</si>
  <si>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</si>
  <si>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</si>
  <si>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</si>
  <si>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</si>
  <si>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</si>
  <si>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</si>
  <si>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</si>
  <si>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</si>
  <si>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</si>
  <si>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</si>
  <si>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</si>
  <si>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</si>
  <si>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</si>
  <si>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</si>
  <si>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</si>
  <si>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</si>
  <si>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</si>
  <si>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</si>
  <si>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</si>
  <si>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</si>
  <si>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</si>
  <si>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</si>
  <si>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</si>
  <si>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</si>
  <si>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</si>
  <si>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</si>
  <si>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</si>
  <si>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</si>
  <si>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</si>
  <si>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</si>
  <si>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</si>
  <si>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</si>
  <si>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</si>
  <si>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</si>
  <si>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</si>
  <si>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</si>
  <si>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</si>
  <si>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</si>
  <si>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</si>
  <si>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</si>
  <si>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</si>
  <si>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</si>
  <si>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</si>
  <si>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</si>
  <si>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</si>
  <si>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</si>
  <si>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</si>
  <si>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</si>
  <si>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</si>
  <si>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</si>
  <si>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</si>
  <si>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</si>
  <si>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</si>
  <si>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</si>
  <si>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</si>
  <si>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</si>
  <si>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</si>
  <si>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</si>
  <si>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</si>
  <si>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</si>
  <si>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</si>
  <si>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</si>
  <si>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</si>
  <si>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</si>
  <si>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</si>
  <si>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</si>
  <si>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</si>
  <si>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</si>
  <si>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</si>
  <si>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</si>
  <si>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</si>
  <si>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</si>
  <si>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</si>
  <si>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</si>
  <si>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</si>
  <si>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</si>
  <si>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</si>
  <si>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</si>
  <si>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</si>
  <si>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</si>
  <si>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</si>
  <si>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</si>
  <si>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</si>
  <si>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</si>
  <si>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</si>
  <si>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</si>
  <si>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</si>
  <si>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</si>
  <si>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</si>
  <si>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</si>
  <si>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</si>
  <si>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</si>
  <si>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</si>
  <si>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</si>
  <si>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</si>
  <si>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</si>
  <si>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</si>
  <si>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</si>
  <si>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</si>
  <si>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</si>
  <si>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</si>
  <si>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</si>
  <si>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</si>
  <si>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</si>
  <si>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</si>
  <si>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</si>
  <si>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</si>
  <si>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</si>
  <si>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</si>
  <si>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</si>
  <si>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</si>
  <si>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</si>
  <si>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</si>
  <si>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</si>
  <si>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</si>
  <si>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</si>
  <si>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</si>
  <si>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</si>
  <si>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</si>
  <si>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</si>
  <si>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</si>
  <si>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</si>
  <si>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</si>
  <si>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</si>
  <si>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</si>
  <si>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</si>
  <si>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</si>
  <si>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</si>
  <si>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</si>
  <si>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</si>
  <si>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</si>
  <si>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</si>
  <si>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</si>
  <si>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</si>
  <si>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</si>
  <si>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</si>
  <si>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</si>
  <si>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</si>
  <si>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</si>
  <si>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</si>
  <si>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</si>
  <si>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</si>
  <si>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</si>
  <si>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</si>
  <si>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</si>
  <si>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</si>
  <si>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</si>
  <si>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</si>
  <si>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</si>
  <si>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</si>
  <si>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</si>
  <si>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</si>
  <si>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</si>
  <si>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</si>
  <si>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</si>
  <si>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</si>
  <si>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</si>
  <si>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</si>
  <si>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</si>
  <si>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</si>
  <si>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</si>
  <si>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</si>
  <si>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</si>
  <si>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</si>
  <si>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</si>
  <si>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</si>
  <si>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</si>
  <si>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</si>
  <si>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</si>
  <si>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</si>
  <si>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</si>
  <si>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</si>
  <si>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</si>
  <si>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</si>
  <si>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</si>
  <si>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</si>
  <si>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</si>
  <si>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</si>
  <si>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</si>
  <si>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</si>
  <si>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</si>
  <si>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</si>
  <si>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</si>
  <si>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</si>
  <si>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</si>
  <si>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</si>
  <si>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</si>
  <si>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</si>
  <si>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</si>
  <si>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</si>
  <si>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</si>
  <si>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</si>
  <si>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</si>
  <si>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</si>
  <si>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</si>
  <si>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</si>
  <si>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</si>
  <si>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</si>
  <si>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</si>
  <si>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</si>
  <si>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</si>
  <si>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</si>
  <si>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</si>
  <si>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</si>
  <si>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</si>
  <si>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</si>
  <si>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</si>
  <si>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</si>
  <si>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</si>
  <si>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</si>
  <si>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</si>
  <si>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</si>
  <si>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</si>
  <si>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</si>
  <si>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</si>
  <si>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</si>
  <si>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</si>
  <si>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</si>
  <si>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</si>
  <si>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</si>
  <si>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</si>
  <si>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</si>
  <si>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</si>
  <si>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</si>
  <si>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</si>
  <si>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</si>
  <si>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</si>
  <si>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</si>
  <si>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</si>
  <si>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</si>
  <si>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</si>
  <si>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</si>
  <si>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</si>
  <si>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</si>
  <si>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</si>
  <si>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</si>
  <si>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</si>
  <si>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</si>
  <si>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</si>
  <si>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</si>
  <si>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</si>
  <si>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</si>
  <si>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</si>
  <si>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</si>
  <si>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</si>
  <si>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</si>
  <si>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</si>
  <si>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</si>
  <si>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</si>
  <si>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</si>
  <si>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</si>
  <si>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</si>
  <si>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</si>
  <si>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</si>
  <si>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</si>
  <si>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</si>
  <si>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</si>
  <si>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</si>
  <si>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</si>
  <si>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</si>
  <si>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</si>
  <si>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</si>
  <si>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</si>
  <si>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</si>
  <si>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</si>
  <si>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</si>
  <si>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</si>
  <si>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</si>
  <si>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</si>
  <si>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</si>
  <si>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</si>
  <si>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</si>
  <si>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</si>
  <si>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</si>
  <si>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</si>
  <si>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</si>
  <si>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</si>
  <si>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</si>
  <si>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</si>
  <si>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</si>
  <si>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</si>
  <si>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</si>
  <si>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</si>
  <si>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</si>
  <si>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</si>
  <si>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</si>
  <si>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</si>
  <si>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</si>
  <si>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</si>
  <si>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</si>
  <si>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</si>
  <si>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</si>
  <si>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</si>
  <si>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</si>
  <si>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</si>
  <si>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</si>
  <si>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</si>
  <si>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</si>
  <si>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</si>
  <si>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</si>
  <si>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</si>
  <si>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</si>
  <si>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</si>
  <si>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</si>
  <si>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</si>
  <si>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</si>
  <si>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</si>
  <si>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</si>
  <si>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</si>
  <si>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</si>
  <si>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</si>
  <si>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</si>
  <si>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</si>
  <si>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</si>
  <si>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</si>
  <si>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</si>
  <si>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</si>
  <si>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</si>
  <si>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</si>
  <si>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</si>
  <si>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</si>
  <si>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</si>
  <si>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</si>
  <si>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</si>
  <si>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</si>
  <si>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</si>
  <si>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</si>
  <si>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</si>
  <si>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</si>
  <si>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</si>
  <si>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</si>
  <si>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</si>
  <si>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</si>
  <si>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</si>
  <si>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</si>
  <si>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</si>
  <si>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</si>
  <si>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</si>
  <si>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</si>
  <si>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</si>
  <si>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</si>
  <si>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</si>
  <si>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</si>
  <si>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</si>
  <si>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</si>
  <si>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</si>
  <si>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</si>
  <si>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</si>
  <si>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</si>
  <si>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</si>
  <si>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</si>
  <si>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</si>
  <si>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</si>
  <si>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</si>
  <si>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</si>
  <si>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</si>
  <si>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</si>
  <si>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</si>
  <si>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</si>
  <si>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</si>
  <si>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</si>
  <si>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</si>
  <si>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</si>
  <si>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</si>
  <si>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</si>
  <si>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</si>
  <si>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</si>
  <si>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</si>
  <si>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</si>
  <si>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</si>
  <si>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</si>
  <si>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</si>
  <si>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</si>
  <si>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</si>
  <si>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</si>
  <si>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</si>
  <si>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</si>
  <si>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</si>
  <si>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</si>
  <si>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</si>
  <si>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</si>
  <si>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</si>
  <si>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</si>
  <si>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</si>
  <si>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</si>
  <si>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</si>
  <si>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</si>
  <si>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</si>
  <si>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</si>
  <si>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</si>
  <si>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</si>
  <si>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</si>
  <si>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</si>
  <si>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</si>
  <si>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</si>
  <si>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</si>
  <si>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</si>
  <si>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</si>
  <si>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</si>
  <si>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</si>
  <si>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</si>
  <si>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</si>
  <si>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</si>
  <si>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</si>
  <si>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</si>
  <si>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</si>
  <si>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</si>
  <si>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</si>
  <si>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</si>
  <si>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</si>
  <si>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</si>
  <si>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</si>
  <si>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</si>
  <si>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</si>
  <si>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</si>
  <si>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</si>
  <si>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</si>
  <si>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</si>
  <si>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</si>
  <si>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</si>
  <si>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</si>
  <si>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</si>
  <si>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</si>
  <si>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</si>
  <si>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</si>
  <si>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</si>
  <si>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</si>
  <si>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</si>
  <si>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</si>
  <si>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</si>
  <si>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</si>
  <si>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</si>
  <si>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</si>
  <si>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</si>
  <si>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</si>
  <si>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</si>
  <si>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</si>
  <si>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</si>
  <si>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</si>
  <si>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</si>
  <si>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</si>
  <si>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</si>
  <si>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</si>
  <si>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</si>
  <si>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</si>
  <si>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</si>
  <si>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</si>
  <si>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</si>
  <si>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</si>
  <si>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</si>
  <si>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</si>
  <si>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</si>
  <si>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</si>
  <si>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</si>
  <si>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</si>
  <si>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</si>
  <si>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</si>
  <si>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</si>
  <si>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</si>
  <si>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</si>
  <si>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</si>
  <si>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</si>
  <si>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</si>
  <si>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</si>
  <si>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</si>
  <si>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</si>
  <si>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</si>
  <si>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</si>
  <si>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</si>
  <si>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</si>
  <si>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</si>
  <si>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</si>
  <si>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</si>
  <si>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</si>
  <si>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</si>
  <si>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</si>
  <si>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</si>
  <si>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</si>
  <si>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</si>
  <si>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</si>
  <si>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</si>
  <si>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</si>
  <si>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</si>
  <si>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</si>
  <si>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</si>
  <si>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</si>
  <si>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</si>
  <si>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</si>
  <si>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</si>
  <si>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</si>
  <si>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</si>
  <si>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</si>
  <si>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</si>
  <si>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</si>
  <si>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</si>
  <si>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</si>
  <si>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</si>
  <si>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</si>
  <si>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</si>
  <si>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</si>
  <si>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</si>
  <si>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</si>
  <si>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</si>
  <si>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</si>
  <si>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</si>
  <si>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</si>
  <si>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</si>
  <si>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</si>
  <si>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</si>
  <si>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</si>
  <si>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</si>
  <si>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</si>
  <si>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</si>
  <si>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</si>
  <si>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</si>
  <si>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</si>
  <si>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</si>
  <si>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</si>
  <si>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</si>
  <si>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</si>
  <si>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</si>
  <si>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</si>
  <si>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</si>
  <si>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</si>
  <si>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</si>
  <si>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</si>
  <si>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</si>
  <si>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</si>
  <si>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</si>
  <si>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</si>
  <si>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</si>
  <si>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</si>
  <si>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</si>
  <si>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</si>
  <si>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</si>
  <si>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</si>
  <si>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</si>
  <si>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</si>
  <si>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</si>
  <si>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</si>
  <si>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</si>
  <si>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</si>
  <si>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</si>
  <si>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</si>
  <si>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</si>
  <si>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</si>
  <si>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</si>
  <si>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</si>
  <si>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</si>
  <si>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</si>
  <si>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</si>
  <si>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</si>
  <si>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</si>
  <si>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</si>
  <si>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</si>
  <si>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</si>
  <si>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</si>
  <si>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</si>
  <si>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</si>
  <si>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</si>
  <si>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</si>
  <si>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</si>
  <si>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</si>
  <si>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</si>
  <si>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</si>
  <si>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</si>
  <si>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</si>
  <si>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</si>
  <si>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</si>
  <si>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</si>
  <si>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</si>
  <si>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</si>
  <si>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</si>
  <si>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</si>
  <si>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</si>
  <si>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</si>
  <si>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</si>
  <si>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</si>
  <si>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</si>
  <si>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</si>
  <si>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</si>
  <si>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</si>
  <si>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</si>
  <si>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</si>
  <si>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</si>
  <si>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</si>
  <si>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</si>
  <si>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</si>
  <si>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</si>
  <si>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</si>
  <si>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</si>
  <si>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</si>
  <si>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</si>
  <si>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</si>
  <si>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</si>
  <si>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</si>
  <si>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</si>
  <si>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</si>
  <si>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</si>
  <si>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</si>
  <si>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</si>
  <si>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</si>
  <si>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</si>
  <si>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</si>
  <si>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</si>
  <si>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</si>
  <si>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</si>
  <si>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</si>
  <si>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</si>
  <si>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</si>
  <si>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</si>
  <si>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</si>
  <si>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</si>
  <si>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</si>
  <si>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</si>
  <si>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</si>
  <si>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</si>
  <si>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</si>
  <si>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</si>
  <si>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</si>
  <si>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</si>
  <si>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</si>
  <si>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</si>
  <si>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</si>
  <si>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</si>
  <si>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</si>
  <si>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</si>
  <si>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</si>
  <si>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</si>
  <si>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</si>
  <si>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</si>
  <si>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</si>
  <si>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</si>
  <si>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</si>
  <si>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</si>
  <si>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</si>
  <si>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</si>
  <si>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</si>
  <si>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</si>
  <si>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</si>
  <si>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</si>
  <si>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</si>
  <si>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</si>
  <si>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</si>
  <si>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</si>
  <si>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</si>
  <si>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</si>
  <si>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</si>
  <si>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</si>
  <si>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</si>
  <si>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</si>
  <si>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</si>
  <si>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</si>
  <si>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</si>
  <si>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</si>
  <si>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</si>
  <si>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</si>
  <si>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</si>
  <si>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</si>
  <si>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</si>
  <si>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</si>
  <si>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</si>
  <si>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</si>
  <si>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</si>
  <si>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</si>
  <si>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</si>
  <si>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</si>
  <si>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</si>
  <si>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</si>
  <si>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</si>
  <si>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</si>
  <si>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</si>
  <si>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</si>
  <si>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</si>
  <si>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</si>
  <si>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</si>
  <si>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</si>
  <si>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</si>
  <si>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</si>
  <si>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</si>
  <si>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</si>
  <si>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</si>
  <si>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</si>
  <si>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</si>
  <si>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</si>
  <si>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</si>
  <si>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</si>
  <si>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</si>
  <si>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</si>
  <si>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</si>
  <si>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</si>
  <si>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</si>
  <si>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</si>
  <si>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</si>
  <si>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</si>
  <si>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</si>
  <si>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</si>
  <si>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</si>
  <si>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</si>
  <si>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</si>
  <si>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</si>
  <si>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</si>
  <si>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</si>
  <si>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</si>
  <si>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</si>
  <si>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</si>
  <si>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</si>
  <si>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</si>
  <si>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</si>
  <si>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</si>
  <si>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</si>
  <si>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</si>
  <si>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</si>
  <si>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</si>
  <si>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</si>
  <si>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</si>
  <si>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</si>
  <si>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</si>
  <si>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</si>
  <si>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</si>
  <si>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</si>
  <si>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</si>
  <si>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</si>
  <si>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</si>
  <si>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</si>
  <si>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</si>
  <si>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</si>
  <si>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</si>
  <si>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</si>
  <si>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</si>
  <si>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</si>
  <si>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</si>
  <si>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</si>
  <si>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</si>
  <si>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</si>
  <si>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</si>
  <si>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</si>
  <si>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</si>
  <si>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</si>
  <si>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</si>
  <si>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</si>
  <si>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</si>
  <si>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</si>
  <si>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</si>
  <si>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</si>
  <si>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</si>
  <si>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</si>
  <si>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</si>
  <si>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</si>
  <si>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</si>
  <si>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</si>
  <si>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</si>
  <si>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</si>
  <si>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</si>
  <si>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</si>
  <si>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</si>
  <si>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</si>
  <si>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</si>
  <si>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</si>
  <si>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</si>
  <si>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</si>
  <si>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</si>
  <si>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</si>
  <si>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</si>
  <si>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</si>
  <si>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</si>
  <si>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</si>
  <si>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</si>
  <si>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</si>
  <si>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</si>
  <si>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</si>
  <si>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</si>
  <si>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</si>
  <si>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</si>
  <si>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</si>
  <si>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</si>
  <si>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</si>
  <si>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</si>
  <si>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</si>
  <si>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</si>
  <si>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</si>
  <si>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</si>
  <si>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</si>
  <si>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</si>
  <si>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</si>
  <si>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</si>
  <si>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</si>
  <si>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</si>
  <si>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</si>
  <si>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</si>
  <si>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</si>
  <si>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</si>
  <si>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</si>
  <si>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</si>
  <si>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</si>
  <si>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</si>
  <si>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</si>
  <si>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</si>
  <si>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</si>
  <si>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</si>
  <si>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</si>
  <si>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</si>
  <si>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</si>
  <si>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</si>
  <si>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</si>
  <si>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</si>
  <si>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</si>
  <si>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</si>
  <si>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</si>
  <si>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</si>
  <si>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</si>
  <si>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</si>
  <si>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</si>
  <si>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</si>
  <si>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</si>
  <si>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</si>
  <si>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</si>
  <si>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</si>
  <si>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</si>
  <si>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</si>
  <si>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</si>
  <si>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</si>
  <si>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</si>
  <si>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</si>
  <si>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</si>
  <si>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</si>
  <si>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</si>
  <si>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</si>
  <si>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</si>
  <si>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</si>
  <si>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</si>
  <si>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</si>
  <si>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</si>
  <si>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</si>
  <si>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</si>
  <si>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</si>
  <si>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</si>
  <si>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</si>
  <si>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</si>
  <si>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</si>
  <si>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</si>
  <si>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</si>
  <si>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</si>
  <si>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</si>
  <si>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</si>
  <si>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</si>
  <si>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</si>
  <si>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</si>
  <si>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</si>
  <si>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</si>
  <si>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</si>
  <si>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</si>
  <si>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</si>
  <si>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</si>
  <si>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</si>
  <si>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</si>
  <si>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</si>
  <si>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</si>
  <si>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</si>
  <si>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</si>
  <si>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</si>
  <si>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</si>
  <si>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</si>
  <si>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</si>
  <si>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</si>
  <si>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</si>
  <si>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</si>
  <si>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</si>
  <si>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</si>
  <si>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</si>
  <si>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</si>
  <si>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</si>
  <si>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</si>
  <si>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</si>
  <si>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</si>
  <si>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</si>
  <si>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</si>
  <si>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</si>
  <si>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</si>
  <si>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</si>
  <si>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</si>
  <si>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</si>
  <si>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</si>
  <si>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</si>
  <si>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</si>
  <si>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</si>
  <si>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</si>
  <si>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</si>
  <si>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</si>
  <si>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</si>
  <si>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</si>
  <si>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</si>
  <si>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</si>
  <si>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</si>
  <si>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</si>
  <si>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</si>
  <si>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</si>
  <si>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</si>
  <si>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</si>
  <si>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</si>
  <si>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</si>
  <si>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</si>
  <si>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</si>
  <si>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</si>
  <si>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</si>
  <si>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</si>
  <si>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</si>
  <si>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</si>
  <si>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</si>
  <si>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</si>
  <si>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</si>
  <si>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</si>
  <si>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</si>
  <si>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</si>
  <si>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</si>
  <si>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</si>
  <si>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</si>
  <si>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</si>
  <si>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</si>
  <si>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</si>
  <si>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</si>
  <si>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</si>
  <si>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</si>
  <si>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</si>
  <si>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</si>
  <si>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</si>
  <si>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</si>
  <si>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</si>
  <si>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</si>
  <si>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</si>
  <si>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</si>
  <si>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</si>
  <si>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</si>
  <si>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</si>
  <si>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</si>
  <si>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</si>
  <si>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</si>
  <si>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</si>
  <si>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</si>
  <si>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</si>
  <si>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</si>
  <si>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</si>
  <si>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</si>
  <si>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</si>
  <si>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</si>
  <si>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</si>
  <si>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</si>
  <si>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</si>
  <si>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</si>
  <si>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</si>
  <si>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</si>
  <si>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</si>
  <si>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</si>
  <si>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</si>
  <si>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</si>
  <si>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</si>
  <si>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</si>
  <si>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</si>
  <si>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</si>
  <si>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</si>
  <si>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</si>
  <si>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</si>
  <si>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</si>
  <si>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</si>
  <si>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</si>
  <si>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</si>
  <si>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</si>
  <si>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</si>
  <si>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</si>
  <si>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</si>
  <si>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</si>
  <si>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</si>
  <si>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</si>
  <si>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</si>
  <si>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</si>
  <si>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</si>
  <si>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</si>
  <si>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</si>
  <si>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</si>
  <si>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</si>
  <si>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</si>
  <si>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</si>
  <si>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</si>
  <si>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</si>
  <si>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</si>
  <si>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</si>
  <si>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</si>
  <si>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</si>
  <si>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</si>
  <si>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</si>
  <si>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</si>
  <si>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</si>
  <si>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</si>
  <si>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</si>
  <si>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</si>
  <si>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</si>
  <si>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</si>
  <si>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</si>
  <si>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</si>
  <si>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</si>
  <si>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</si>
  <si>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</si>
  <si>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</si>
  <si>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</si>
  <si>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</si>
  <si>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</si>
  <si>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</si>
  <si>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</si>
  <si>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</si>
  <si>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</si>
  <si>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</si>
  <si>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</si>
  <si>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</si>
  <si>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</si>
  <si>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</si>
  <si>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</si>
  <si>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</si>
  <si>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</si>
  <si>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</si>
  <si>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</si>
  <si>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</si>
  <si>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</si>
  <si>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</si>
  <si>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</si>
  <si>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</si>
  <si>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</si>
  <si>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</si>
  <si>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</si>
  <si>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</si>
  <si>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</si>
  <si>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</si>
  <si>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</si>
  <si>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</si>
  <si>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</si>
  <si>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</si>
  <si>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</si>
  <si>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</si>
  <si>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</si>
  <si>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</si>
  <si>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</si>
  <si>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</si>
  <si>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</si>
  <si>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</si>
  <si>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</si>
  <si>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</si>
  <si>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</si>
  <si>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</si>
  <si>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</si>
  <si>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</si>
  <si>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</si>
  <si>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</si>
  <si>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</si>
  <si>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</si>
  <si>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</si>
  <si>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</si>
  <si>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</si>
  <si>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</si>
  <si>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</si>
  <si>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</si>
  <si>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</si>
  <si>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</si>
  <si>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</si>
  <si>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</si>
  <si>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</si>
  <si>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</si>
  <si>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</si>
  <si>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</si>
  <si>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</si>
  <si>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</si>
  <si>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</si>
  <si>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</si>
  <si>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</si>
  <si>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</si>
  <si>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</si>
  <si>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</si>
  <si>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</si>
  <si>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</si>
  <si>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</si>
  <si>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</si>
  <si>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</si>
  <si>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</si>
  <si>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</si>
  <si>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</si>
  <si>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</si>
  <si>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</si>
  <si>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</si>
  <si>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</si>
  <si>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</si>
  <si>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</si>
  <si>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</si>
  <si>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</si>
  <si>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</si>
  <si>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</si>
  <si>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</si>
  <si>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</si>
  <si>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</si>
  <si>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</si>
  <si>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</si>
  <si>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</si>
  <si>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</si>
  <si>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</si>
  <si>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</si>
  <si>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</si>
  <si>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</si>
  <si>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</si>
  <si>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</si>
  <si>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</si>
  <si>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</si>
  <si>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</si>
  <si>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</si>
  <si>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</si>
  <si>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</si>
  <si>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</si>
  <si>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</si>
  <si>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</si>
  <si>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</si>
  <si>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</si>
  <si>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</si>
  <si>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</si>
  <si>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</si>
  <si>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</si>
  <si>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</si>
  <si>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</si>
  <si>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</si>
  <si>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</si>
  <si>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</si>
  <si>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</si>
  <si>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</si>
  <si>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</si>
  <si>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</si>
  <si>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</si>
  <si>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</si>
  <si>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</si>
  <si>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</si>
  <si>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</si>
  <si>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</si>
  <si>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</si>
  <si>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</si>
  <si>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</si>
  <si>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</si>
  <si>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</si>
  <si>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</si>
  <si>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</si>
  <si>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</si>
  <si>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</si>
  <si>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</si>
  <si>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</si>
  <si>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</si>
  <si>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</si>
  <si>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</si>
  <si>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</si>
  <si>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</si>
  <si>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</si>
  <si>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</si>
  <si>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</si>
  <si>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</si>
  <si>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</si>
  <si>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</si>
  <si>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</si>
  <si>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</si>
  <si>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</si>
  <si>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</si>
  <si>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</si>
  <si>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</si>
  <si>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</si>
  <si>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</si>
  <si>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</si>
  <si>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</si>
  <si>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</si>
  <si>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</si>
  <si>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</si>
  <si>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</si>
  <si>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</si>
  <si>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</si>
  <si>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</si>
  <si>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</si>
  <si>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</si>
  <si>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</si>
  <si>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</si>
  <si>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</si>
  <si>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</si>
  <si>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</si>
  <si>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</si>
  <si>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</si>
  <si>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</si>
  <si>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</si>
  <si>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</si>
  <si>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</si>
  <si>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</si>
  <si>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</si>
  <si>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</si>
  <si>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</si>
  <si>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</si>
  <si>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</si>
  <si>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</si>
  <si>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</si>
  <si>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</si>
  <si>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</si>
  <si>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</si>
  <si>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</si>
  <si>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</si>
  <si>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</si>
  <si>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</si>
  <si>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</si>
  <si>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</si>
  <si>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</si>
  <si>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</si>
  <si>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</si>
  <si>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</si>
  <si>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</si>
  <si>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</si>
  <si>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</si>
  <si>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</si>
  <si>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</si>
  <si>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</si>
  <si>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</si>
  <si>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</si>
  <si>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</si>
  <si>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</si>
  <si>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</si>
  <si>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</si>
  <si>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</si>
  <si>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</si>
  <si>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</si>
  <si>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</si>
  <si>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</si>
  <si>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</si>
  <si>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</si>
  <si>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</si>
  <si>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</si>
  <si>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</si>
  <si>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</si>
  <si>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</si>
  <si>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</si>
  <si>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</si>
  <si>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</si>
  <si>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</si>
  <si>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</si>
  <si>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</si>
  <si>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</si>
  <si>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</si>
  <si>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</si>
  <si>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</si>
  <si>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</si>
  <si>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</si>
  <si>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</si>
  <si>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</si>
  <si>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</si>
  <si>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</si>
  <si>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</si>
  <si>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</si>
  <si>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</si>
  <si>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</si>
  <si>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</si>
  <si>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</si>
  <si>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</si>
  <si>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</si>
  <si>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</si>
  <si>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</si>
  <si>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</si>
  <si>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</si>
  <si>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</si>
  <si>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</si>
  <si>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</si>
  <si>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</si>
  <si>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</si>
  <si>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</si>
  <si>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</si>
  <si>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</si>
  <si>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</si>
  <si>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</si>
  <si>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</si>
  <si>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</si>
  <si>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</si>
  <si>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</si>
  <si>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</si>
  <si>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</si>
  <si>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</si>
  <si>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</si>
  <si>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</si>
  <si>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</si>
  <si>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</si>
  <si>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</si>
  <si>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</si>
  <si>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</si>
  <si>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</si>
  <si>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</si>
  <si>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</si>
  <si>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</si>
  <si>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</si>
  <si>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</si>
  <si>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</si>
  <si>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</si>
  <si>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</si>
  <si>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</si>
  <si>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</si>
  <si>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</si>
  <si>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</si>
  <si>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</si>
  <si>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</si>
  <si>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</si>
  <si>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</si>
  <si>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</si>
  <si>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</si>
  <si>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</si>
  <si>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</si>
  <si>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</si>
  <si>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</si>
  <si>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</si>
  <si>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</si>
  <si>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</si>
  <si>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</si>
  <si>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</si>
  <si>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</si>
  <si>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</si>
  <si>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</si>
  <si>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</si>
  <si>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</si>
  <si>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</si>
  <si>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</si>
  <si>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</si>
  <si>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</si>
  <si>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</si>
  <si>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</si>
  <si>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</si>
  <si>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</si>
  <si>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</si>
  <si>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</si>
  <si>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</si>
  <si>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</si>
  <si>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</si>
  <si>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</si>
  <si>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</si>
  <si>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</si>
  <si>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</si>
  <si>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</si>
  <si>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</si>
  <si>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</si>
  <si>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</si>
  <si>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</si>
  <si>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</si>
  <si>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</si>
  <si>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</si>
  <si>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</si>
  <si>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</si>
  <si>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</si>
  <si>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</si>
  <si>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</si>
  <si>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</si>
  <si>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</si>
  <si>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</si>
  <si>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</si>
  <si>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</si>
  <si>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</si>
  <si>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</si>
  <si>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</si>
  <si>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</si>
  <si>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</si>
  <si>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</si>
  <si>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</si>
  <si>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</si>
  <si>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</si>
  <si>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</si>
  <si>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</si>
  <si>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</si>
  <si>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</si>
  <si>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</si>
  <si>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</si>
  <si>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</si>
  <si>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</si>
  <si>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</si>
  <si>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</si>
  <si>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</si>
  <si>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</si>
  <si>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</si>
  <si>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</si>
  <si>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</si>
  <si>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</si>
  <si>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</si>
  <si>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</si>
  <si>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</si>
  <si>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</si>
  <si>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</si>
  <si>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</si>
  <si>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</si>
  <si>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</si>
  <si>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</si>
  <si>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</si>
  <si>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</si>
  <si>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</si>
  <si>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</si>
  <si>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</si>
  <si>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</si>
  <si>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</si>
  <si>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</si>
  <si>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</si>
  <si>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</si>
  <si>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</si>
  <si>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</si>
  <si>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</si>
  <si>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</si>
  <si>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</si>
  <si>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</si>
  <si>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</si>
  <si>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</si>
  <si>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</si>
  <si>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</si>
  <si>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</si>
  <si>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</si>
  <si>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</si>
  <si>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</si>
  <si>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</si>
  <si>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</si>
  <si>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</si>
  <si>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</si>
  <si>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</si>
  <si>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</si>
  <si>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</si>
  <si>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</si>
  <si>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</si>
  <si>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</si>
  <si>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</si>
  <si>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</si>
  <si>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</si>
  <si>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</si>
  <si>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</si>
  <si>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</si>
  <si>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</si>
  <si>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</si>
  <si>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</si>
  <si>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</si>
  <si>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</si>
  <si>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</si>
  <si>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</si>
  <si>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</si>
  <si>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</si>
  <si>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</si>
  <si>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</si>
  <si>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</si>
  <si>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</si>
  <si>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</si>
  <si>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</si>
  <si>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</si>
  <si>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</si>
  <si>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</si>
  <si>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</si>
  <si>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</si>
  <si>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</si>
  <si>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</si>
  <si>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</si>
  <si>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</si>
  <si>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</si>
  <si>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</si>
  <si>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</si>
  <si>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</si>
  <si>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</si>
  <si>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</si>
  <si>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</si>
  <si>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</si>
  <si>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</si>
  <si>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</si>
  <si>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</si>
  <si>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</si>
  <si>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</si>
  <si>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</si>
  <si>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</si>
  <si>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</si>
  <si>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</si>
  <si>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</si>
  <si>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</si>
  <si>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</si>
  <si>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</si>
  <si>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</si>
  <si>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</si>
  <si>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</si>
  <si>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</si>
  <si>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</si>
  <si>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</si>
  <si>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</si>
  <si>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</si>
  <si>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</si>
  <si>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</si>
  <si>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</si>
  <si>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</si>
  <si>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</si>
  <si>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</si>
  <si>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</si>
  <si>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</si>
  <si>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</si>
  <si>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</si>
  <si>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</si>
  <si>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</si>
  <si>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</si>
  <si>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</si>
  <si>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</si>
  <si>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</si>
  <si>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</si>
  <si>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</si>
  <si>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</si>
  <si>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</si>
  <si>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</si>
  <si>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</si>
  <si>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</si>
  <si>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</si>
  <si>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</si>
  <si>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</si>
  <si>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</si>
  <si>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</si>
  <si>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</si>
  <si>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</si>
  <si>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</si>
  <si>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</si>
  <si>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</si>
  <si>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</si>
  <si>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</si>
  <si>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</si>
  <si>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</si>
  <si>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</si>
  <si>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</si>
  <si>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</si>
  <si>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</si>
  <si>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</si>
  <si>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</si>
  <si>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</si>
  <si>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</si>
  <si>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</si>
  <si>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</si>
  <si>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</si>
  <si>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</si>
  <si>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</si>
  <si>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</si>
  <si>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</si>
  <si>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</si>
  <si>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</si>
  <si>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</si>
  <si>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</si>
  <si>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</si>
  <si>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</si>
  <si>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</si>
  <si>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</si>
  <si>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</si>
  <si>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</si>
  <si>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</si>
  <si>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</si>
  <si>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</si>
  <si>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</si>
  <si>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</si>
  <si>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</si>
  <si>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</si>
  <si>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</si>
  <si>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</si>
  <si>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</si>
  <si>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</si>
  <si>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</si>
  <si>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</si>
  <si>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</si>
  <si>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</si>
  <si>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</si>
  <si>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</si>
  <si>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</si>
  <si>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</si>
  <si>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</si>
  <si>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</si>
  <si>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</si>
  <si>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</si>
  <si>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</si>
  <si>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</si>
  <si>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</si>
  <si>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</si>
  <si>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</si>
  <si>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</si>
  <si>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</si>
  <si>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</si>
  <si>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</si>
  <si>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</si>
  <si>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</si>
  <si>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</si>
  <si>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</si>
  <si>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</si>
  <si>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</si>
  <si>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</si>
  <si>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</si>
  <si>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</si>
  <si>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</si>
  <si>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</si>
  <si>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</si>
  <si>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</si>
  <si>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</si>
  <si>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</si>
  <si>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</si>
  <si>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</si>
  <si>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</si>
  <si>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</si>
  <si>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</si>
  <si>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</si>
  <si>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</si>
  <si>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</si>
  <si>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</si>
  <si>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</si>
  <si>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</si>
  <si>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</si>
  <si>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</si>
  <si>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</si>
  <si>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</si>
  <si>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</si>
  <si>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</si>
  <si>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</si>
  <si>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</si>
  <si>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</si>
  <si>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</si>
  <si>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</si>
  <si>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</si>
  <si>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</si>
  <si>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</si>
  <si>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</si>
  <si>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</si>
  <si>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</si>
  <si>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</si>
  <si>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</si>
  <si>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</si>
  <si>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</si>
  <si>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</si>
  <si>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</si>
  <si>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</si>
  <si>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</si>
  <si>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</si>
  <si>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</si>
  <si>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</si>
  <si>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</si>
  <si>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</si>
  <si>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</si>
  <si>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</si>
  <si>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</si>
  <si>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</si>
  <si>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</si>
  <si>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</si>
  <si>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</si>
  <si>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</si>
  <si>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</si>
  <si>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</si>
  <si>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</si>
  <si>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</si>
  <si>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</si>
  <si>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</si>
  <si>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</si>
  <si>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</si>
  <si>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</si>
  <si>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</si>
  <si>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</si>
  <si>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</si>
  <si>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</si>
  <si>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</si>
  <si>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</si>
  <si>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</si>
  <si>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</si>
  <si>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</si>
  <si>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</si>
  <si>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</si>
  <si>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</si>
  <si>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</si>
  <si>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</si>
  <si>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</si>
  <si>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</si>
  <si>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</si>
  <si>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</si>
  <si>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</si>
  <si>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</si>
  <si>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</si>
  <si>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</si>
  <si>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</si>
  <si>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</si>
  <si>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</si>
  <si>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</si>
  <si>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</si>
  <si>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</si>
  <si>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</si>
  <si>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</si>
  <si>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</si>
  <si>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</si>
  <si>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</si>
  <si>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</si>
  <si>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</si>
  <si>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</si>
  <si>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</si>
  <si>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</si>
  <si>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</si>
  <si>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</si>
  <si>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</si>
  <si>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</si>
  <si>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</si>
  <si>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</si>
  <si>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</si>
  <si>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</si>
  <si>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</si>
  <si>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</si>
  <si>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</si>
  <si>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</si>
  <si>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</si>
  <si>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</si>
  <si>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</si>
  <si>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</si>
  <si>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</si>
  <si>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</si>
  <si>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</si>
  <si>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</si>
  <si>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</si>
  <si>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</si>
  <si>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</si>
  <si>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</si>
  <si>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</si>
  <si>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</si>
  <si>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</si>
  <si>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</si>
  <si>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</si>
  <si>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</si>
  <si>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</si>
  <si>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</si>
  <si>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</si>
  <si>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</si>
  <si>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</si>
  <si>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</si>
  <si>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</si>
  <si>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</si>
  <si>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</si>
  <si>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</si>
  <si>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</si>
  <si>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</si>
  <si>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</si>
  <si>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</si>
  <si>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</si>
  <si>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</si>
  <si>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</si>
  <si>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</si>
  <si>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</si>
  <si>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</si>
  <si>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</si>
  <si>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</si>
  <si>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</si>
  <si>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</si>
  <si>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</si>
  <si>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</si>
  <si>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</si>
  <si>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</si>
  <si>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</si>
  <si>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</si>
  <si>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</si>
  <si>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</si>
  <si>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</si>
  <si>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</si>
  <si>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</si>
  <si>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</si>
  <si>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</si>
  <si>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</si>
  <si>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</si>
  <si>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</si>
  <si>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</si>
  <si>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</si>
  <si>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</si>
  <si>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</si>
  <si>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</si>
  <si>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</si>
  <si>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</si>
  <si>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</si>
  <si>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</si>
  <si>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</si>
  <si>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</si>
  <si>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</si>
  <si>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</si>
  <si>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</si>
  <si>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</si>
  <si>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</si>
  <si>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</si>
  <si>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</si>
  <si>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</si>
  <si>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</si>
  <si>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</si>
  <si>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</si>
  <si>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</si>
  <si>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</si>
  <si>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</si>
  <si>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</si>
  <si>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</si>
  <si>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</si>
  <si>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</si>
  <si>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</si>
  <si>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</si>
  <si>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</si>
  <si>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</si>
  <si>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</si>
  <si>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</si>
  <si>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</si>
  <si>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</si>
  <si>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</si>
  <si>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</si>
  <si>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</si>
  <si>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</si>
  <si>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</si>
  <si>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</si>
  <si>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</si>
  <si>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</si>
  <si>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</si>
  <si>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</si>
  <si>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</si>
  <si>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</si>
  <si>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</si>
  <si>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</si>
  <si>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</si>
  <si>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</si>
  <si>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</si>
  <si>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</si>
  <si>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</si>
  <si>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</si>
  <si>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</si>
  <si>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</si>
  <si>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</si>
  <si>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</si>
  <si>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</si>
  <si>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</si>
  <si>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</si>
  <si>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</si>
  <si>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</si>
  <si>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</si>
  <si>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</si>
  <si>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</si>
  <si>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</si>
  <si>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</si>
  <si>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</si>
  <si>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</si>
  <si>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</si>
  <si>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</si>
  <si>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</si>
  <si>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</si>
  <si>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</si>
  <si>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</si>
  <si>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</si>
  <si>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</si>
  <si>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</si>
  <si>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</si>
  <si>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</si>
  <si>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</si>
  <si>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</si>
  <si>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</si>
  <si>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</si>
  <si>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</si>
  <si>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</si>
  <si>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</si>
  <si>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</si>
  <si>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</si>
  <si>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</si>
  <si>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</si>
  <si>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</si>
  <si>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</si>
  <si>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</si>
  <si>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</si>
  <si>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</si>
  <si>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</si>
  <si>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</si>
  <si>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</si>
  <si>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</si>
  <si>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</si>
  <si>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</si>
  <si>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</si>
  <si>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</si>
  <si>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</si>
  <si>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</si>
  <si>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</si>
  <si>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</si>
  <si>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</si>
  <si>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</si>
  <si>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</si>
  <si>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</si>
  <si>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</si>
  <si>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</si>
  <si>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</si>
  <si>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</si>
  <si>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</si>
  <si>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</si>
  <si>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</si>
  <si>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</si>
  <si>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</si>
  <si>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</si>
  <si>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</si>
  <si>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</si>
  <si>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</si>
  <si>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</si>
  <si>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</si>
  <si>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</si>
  <si>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</si>
  <si>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</si>
  <si>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</si>
  <si>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</si>
  <si>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</si>
  <si>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</si>
  <si>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</si>
  <si>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</si>
  <si>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</si>
  <si>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</si>
  <si>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</si>
  <si>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</si>
  <si>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</si>
  <si>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</si>
  <si>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</si>
  <si>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</si>
  <si>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</si>
  <si>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</si>
  <si>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</si>
  <si>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</si>
  <si>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</si>
  <si>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</si>
  <si>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</si>
  <si>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</si>
  <si>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</si>
  <si>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</si>
  <si>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</si>
  <si>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</si>
  <si>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</si>
  <si>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</si>
  <si>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</si>
  <si>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</si>
  <si>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</si>
  <si>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</si>
  <si>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</si>
  <si>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</si>
  <si>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</si>
  <si>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</si>
  <si>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</si>
  <si>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</si>
  <si>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</si>
  <si>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</si>
  <si>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</si>
  <si>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</si>
  <si>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</si>
  <si>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</si>
  <si>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</si>
  <si>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</si>
  <si>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</si>
  <si>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</si>
  <si>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</si>
  <si>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</si>
  <si>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</si>
  <si>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</si>
  <si>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</si>
  <si>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</si>
  <si>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</si>
  <si>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</si>
  <si>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</si>
  <si>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</si>
  <si>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</si>
  <si>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</si>
  <si>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</si>
  <si>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</si>
  <si>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</si>
  <si>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</si>
  <si>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</si>
  <si>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</si>
  <si>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</si>
  <si>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</si>
  <si>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</si>
  <si>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</si>
  <si>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</si>
  <si>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</si>
  <si>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</si>
  <si>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</si>
  <si>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</si>
  <si>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</si>
  <si>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</si>
  <si>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</si>
  <si>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</si>
  <si>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</si>
  <si>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</si>
  <si>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</si>
  <si>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</si>
  <si>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</si>
  <si>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</si>
  <si>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</si>
  <si>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</si>
  <si>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</si>
  <si>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</si>
  <si>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</si>
  <si>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</si>
  <si>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</si>
  <si>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</si>
  <si>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</si>
  <si>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</si>
  <si>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</si>
  <si>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</si>
  <si>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</si>
  <si>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</si>
  <si>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</si>
  <si>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</si>
  <si>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</si>
  <si>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</si>
  <si>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</si>
  <si>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</si>
  <si>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</si>
  <si>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</si>
  <si>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</si>
  <si>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</si>
  <si>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</si>
  <si>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</si>
  <si>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</si>
  <si>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</si>
  <si>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</si>
  <si>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</si>
  <si>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</si>
  <si>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</si>
  <si>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</si>
  <si>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</si>
  <si>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</si>
  <si>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</si>
  <si>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</si>
  <si>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</si>
  <si>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</si>
  <si>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</si>
  <si>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</si>
  <si>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</si>
  <si>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</si>
  <si>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</si>
  <si>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</si>
  <si>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</si>
  <si>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</si>
  <si>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</si>
  <si>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</si>
  <si>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</si>
  <si>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</si>
  <si>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</si>
  <si>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</si>
  <si>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</si>
  <si>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</si>
  <si>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</si>
  <si>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</si>
  <si>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</si>
  <si>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</si>
  <si>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</si>
  <si>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</si>
  <si>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</si>
  <si>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</si>
  <si>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</si>
  <si>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</si>
  <si>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</si>
  <si>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</si>
  <si>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</si>
  <si>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</si>
  <si>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</si>
  <si>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</si>
  <si>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</si>
  <si>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</si>
  <si>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</si>
  <si>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</si>
  <si>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</si>
  <si>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</si>
  <si>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</si>
  <si>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</si>
  <si>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</si>
  <si>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</si>
  <si>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</si>
  <si>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</si>
  <si>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</si>
  <si>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</si>
  <si>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</si>
  <si>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</si>
  <si>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</si>
  <si>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</si>
  <si>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</si>
  <si>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</si>
  <si>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</si>
  <si>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</si>
  <si>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</si>
  <si>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</si>
  <si>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</si>
  <si>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</si>
  <si>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</si>
  <si>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</si>
  <si>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</si>
  <si>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</si>
  <si>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</si>
  <si>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</si>
  <si>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</si>
  <si>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</si>
  <si>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</si>
  <si>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</si>
  <si>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</si>
  <si>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</si>
  <si>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</si>
  <si>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</si>
  <si>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</si>
  <si>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</si>
  <si>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</si>
  <si>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</si>
  <si>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</si>
  <si>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</si>
  <si>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</si>
  <si>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</si>
  <si>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</si>
  <si>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</si>
  <si>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</si>
  <si>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</si>
  <si>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</si>
  <si>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</si>
  <si>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</si>
  <si>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</si>
  <si>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</si>
  <si>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</si>
  <si>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</si>
  <si>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</si>
  <si>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</si>
  <si>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</si>
  <si>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</si>
  <si>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</si>
  <si>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</si>
  <si>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</si>
  <si>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</si>
  <si>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</si>
  <si>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</si>
  <si>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</si>
  <si>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</si>
  <si>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</si>
  <si>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</si>
  <si>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</si>
  <si>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</si>
  <si>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</si>
  <si>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</si>
  <si>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</si>
  <si>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</si>
  <si>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</si>
  <si>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</si>
  <si>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</si>
  <si>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</si>
  <si>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</si>
  <si>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</si>
  <si>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</si>
  <si>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</si>
  <si>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</si>
  <si>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</si>
  <si>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</si>
  <si>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</si>
  <si>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</si>
  <si>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</si>
  <si>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</si>
  <si>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</si>
  <si>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</si>
  <si>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</si>
  <si>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</si>
  <si>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</si>
  <si>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</si>
  <si>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</si>
  <si>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</si>
  <si>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</si>
  <si>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</si>
  <si>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</si>
  <si>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</si>
  <si>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</si>
  <si>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</si>
  <si>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</si>
  <si>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</si>
  <si>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</si>
  <si>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</si>
  <si>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</si>
  <si>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</si>
  <si>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</si>
  <si>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</si>
  <si>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</si>
  <si>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</si>
  <si>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</si>
  <si>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</si>
  <si>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</si>
  <si>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</si>
  <si>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</si>
  <si>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</si>
  <si>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</si>
  <si>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</si>
  <si>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</si>
  <si>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</si>
  <si>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</si>
  <si>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</si>
  <si>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</si>
  <si>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</si>
  <si>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</si>
  <si>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</si>
  <si>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</si>
  <si>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</si>
  <si>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</si>
  <si>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</si>
  <si>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</si>
  <si>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</si>
  <si>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</si>
  <si>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</si>
  <si>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</si>
  <si>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</si>
  <si>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</si>
  <si>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</si>
  <si>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</si>
  <si>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</si>
  <si>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</si>
  <si>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</si>
  <si>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</si>
  <si>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</si>
  <si>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</si>
  <si>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</si>
  <si>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</si>
  <si>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</si>
  <si>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</si>
  <si>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</si>
  <si>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</si>
  <si>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</si>
  <si>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</si>
  <si>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</si>
  <si>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</si>
  <si>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</si>
  <si>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</si>
  <si>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</si>
  <si>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</si>
  <si>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</si>
  <si>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</si>
  <si>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</si>
  <si>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</si>
  <si>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</si>
  <si>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</si>
  <si>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</si>
  <si>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</si>
  <si>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</si>
  <si>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</si>
  <si>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</si>
  <si>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</si>
  <si>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</si>
  <si>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</si>
  <si>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</si>
  <si>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</si>
  <si>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</si>
  <si>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</si>
  <si>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</si>
  <si>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</si>
  <si>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</si>
  <si>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</si>
  <si>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</si>
  <si>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</si>
  <si>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</si>
  <si>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</si>
  <si>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</si>
  <si>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</si>
  <si>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</si>
  <si>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</si>
  <si>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</si>
  <si>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</si>
  <si>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</si>
  <si>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</si>
  <si>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</si>
  <si>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</si>
  <si>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</si>
  <si>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</si>
  <si>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</si>
  <si>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</si>
  <si>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</si>
  <si>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</si>
  <si>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</si>
  <si>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</si>
  <si>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</si>
  <si>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</si>
  <si>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</si>
  <si>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</si>
  <si>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</si>
  <si>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</si>
  <si>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</si>
  <si>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</si>
  <si>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</si>
  <si>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</si>
  <si>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</si>
  <si>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</si>
  <si>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</si>
  <si>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</si>
  <si>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</si>
  <si>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</si>
  <si>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</si>
  <si>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</si>
  <si>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</si>
  <si>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</si>
  <si>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</si>
  <si>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</si>
  <si>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</si>
  <si>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</si>
  <si>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</si>
  <si>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</si>
  <si>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</si>
  <si>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</si>
  <si>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</si>
  <si>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</si>
  <si>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</si>
  <si>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</si>
  <si>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</si>
  <si>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</si>
  <si>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</si>
  <si>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</si>
  <si>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</si>
  <si>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</si>
  <si>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</si>
  <si>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</si>
  <si>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</si>
  <si>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</si>
  <si>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</si>
  <si>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</si>
  <si>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</si>
  <si>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</si>
  <si>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</si>
  <si>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</si>
  <si>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</si>
  <si>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</si>
  <si>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</si>
  <si>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</si>
  <si>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</si>
  <si>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</si>
  <si>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</si>
  <si>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</si>
  <si>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</si>
  <si>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</si>
  <si>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</si>
  <si>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</si>
  <si>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</si>
  <si>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</si>
  <si>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</si>
  <si>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</si>
  <si>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</si>
  <si>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</si>
  <si>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</si>
  <si>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</si>
  <si>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</si>
  <si>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</si>
  <si>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</si>
  <si>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</si>
  <si>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</si>
  <si>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</si>
  <si>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</si>
  <si>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</si>
  <si>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</si>
  <si>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</si>
  <si>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</si>
  <si>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</si>
  <si>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</si>
  <si>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</si>
  <si>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</si>
  <si>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</si>
  <si>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</si>
  <si>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</si>
  <si>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</si>
  <si>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</si>
  <si>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</si>
  <si>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</si>
  <si>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</si>
  <si>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</si>
  <si>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</si>
  <si>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</si>
  <si>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</si>
  <si>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</si>
  <si>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</si>
  <si>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</si>
  <si>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</si>
  <si>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</si>
  <si>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</si>
  <si>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</si>
  <si>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</si>
  <si>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</si>
  <si>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</si>
  <si>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</si>
  <si>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</si>
  <si>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</si>
  <si>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</si>
  <si>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</si>
  <si>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</si>
  <si>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</si>
  <si>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</si>
  <si>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</si>
  <si>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</si>
  <si>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</si>
  <si>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</si>
  <si>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</si>
  <si>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</si>
  <si>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</si>
  <si>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</si>
  <si>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</si>
  <si>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</si>
  <si>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</si>
  <si>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</si>
  <si>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</si>
  <si>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</si>
  <si>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</si>
  <si>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</si>
  <si>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</si>
  <si>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</si>
  <si>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</si>
  <si>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</si>
  <si>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</si>
  <si>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</si>
  <si>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</si>
  <si>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</si>
  <si>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</si>
  <si>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</si>
  <si>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</si>
  <si>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</si>
  <si>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</si>
  <si>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</si>
  <si>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</si>
  <si>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</si>
  <si>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</si>
  <si>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</si>
  <si>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</si>
  <si>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</si>
  <si>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</si>
  <si>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</si>
  <si>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</si>
  <si>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</si>
  <si>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</si>
  <si>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</si>
  <si>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</si>
  <si>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</si>
  <si>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</si>
  <si>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</si>
  <si>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</si>
  <si>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</si>
  <si>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</si>
  <si>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</si>
  <si>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</si>
  <si>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</si>
  <si>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</si>
  <si>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</si>
  <si>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</si>
  <si>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</si>
  <si>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</si>
  <si>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</si>
  <si>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</si>
  <si>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</si>
  <si>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</si>
  <si>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</si>
  <si>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</si>
  <si>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</si>
  <si>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</si>
  <si>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</si>
  <si>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</si>
  <si>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</si>
  <si>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</si>
  <si>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</si>
  <si>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</si>
  <si>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</si>
  <si>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</si>
  <si>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</si>
  <si>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</si>
  <si>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</si>
  <si>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</si>
  <si>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</si>
  <si>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</si>
  <si>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</si>
  <si>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</si>
  <si>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</si>
  <si>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</si>
  <si>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</si>
  <si>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</si>
  <si>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</si>
  <si>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</si>
  <si>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</si>
  <si>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</si>
  <si>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</si>
  <si>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</si>
  <si>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</si>
  <si>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</si>
  <si>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</si>
  <si>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</si>
  <si>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</si>
  <si>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</si>
  <si>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</si>
  <si>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</si>
  <si>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</si>
  <si>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</si>
  <si>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</si>
  <si>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</si>
  <si>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</si>
  <si>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</si>
  <si>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</si>
  <si>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</si>
  <si>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</si>
  <si>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</si>
  <si>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</si>
  <si>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</si>
  <si>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</si>
  <si>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</si>
  <si>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</si>
  <si>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</si>
  <si>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</si>
  <si>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</si>
  <si>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</si>
  <si>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</si>
  <si>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</si>
  <si>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</si>
  <si>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</si>
  <si>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</si>
  <si>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</si>
  <si>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</si>
  <si>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</si>
  <si>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</si>
  <si>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</si>
  <si>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</si>
  <si>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</si>
  <si>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</si>
  <si>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</si>
  <si>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</si>
  <si>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</si>
  <si>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</si>
  <si>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</si>
  <si>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</si>
  <si>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</si>
  <si>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</si>
  <si>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</si>
  <si>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</si>
  <si>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</si>
  <si>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</si>
  <si>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</si>
  <si>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</si>
  <si>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</si>
  <si>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</si>
  <si>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</si>
  <si>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</si>
  <si>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</si>
  <si>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</si>
  <si>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</si>
  <si>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</si>
  <si>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</si>
  <si>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</si>
  <si>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</si>
  <si>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</si>
  <si>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</si>
  <si>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</si>
  <si>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</si>
  <si>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</si>
  <si>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</si>
  <si>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</si>
  <si>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</si>
  <si>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</si>
  <si>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</si>
  <si>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</si>
  <si>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</si>
  <si>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</si>
  <si>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</si>
  <si>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</si>
  <si>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</si>
  <si>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</si>
  <si>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</si>
  <si>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</si>
  <si>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</si>
  <si>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</si>
  <si>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</si>
  <si>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</si>
  <si>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</si>
  <si>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</si>
  <si>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</si>
  <si>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</si>
  <si>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</si>
  <si>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</si>
  <si>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</si>
  <si>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</si>
  <si>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</si>
  <si>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</si>
  <si>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</si>
  <si>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</si>
  <si>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</si>
  <si>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</si>
  <si>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</si>
  <si>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</si>
  <si>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</si>
  <si>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</si>
  <si>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</si>
  <si>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</si>
  <si>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</si>
  <si>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</si>
  <si>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</si>
  <si>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</si>
  <si>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</si>
  <si>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</si>
  <si>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</si>
  <si>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</si>
  <si>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</si>
  <si>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</si>
  <si>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</si>
  <si>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</si>
  <si>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</si>
  <si>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</si>
  <si>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</si>
  <si>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</si>
  <si>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</si>
  <si>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</si>
  <si>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</si>
  <si>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</si>
  <si>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</si>
  <si>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</si>
  <si>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</si>
  <si>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</si>
  <si>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</si>
  <si>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</si>
  <si>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</si>
  <si>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</si>
  <si>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</si>
  <si>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</si>
  <si>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</si>
  <si>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</si>
  <si>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</si>
  <si>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</si>
  <si>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</si>
  <si>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</si>
  <si>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</si>
  <si>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</si>
  <si>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</si>
  <si>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</si>
  <si>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</si>
  <si>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</si>
  <si>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</si>
  <si>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</si>
  <si>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</si>
  <si>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</si>
  <si>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</si>
  <si>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</si>
  <si>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</si>
  <si>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</si>
  <si>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</si>
  <si>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</si>
  <si>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</si>
  <si>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</si>
  <si>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</si>
  <si>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</si>
  <si>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</si>
  <si>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</si>
  <si>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</si>
  <si>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</si>
  <si>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</si>
  <si>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</si>
  <si>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</si>
  <si>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</si>
  <si>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</si>
  <si>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</si>
  <si>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</si>
  <si>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</si>
  <si>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</si>
  <si>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</si>
  <si>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</si>
  <si>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</si>
  <si>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</si>
  <si>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</si>
  <si>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</si>
  <si>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</si>
  <si>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</si>
  <si>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</si>
  <si>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</si>
  <si>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</si>
  <si>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</si>
  <si>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</si>
  <si>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</si>
  <si>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</si>
  <si>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</si>
  <si>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</si>
  <si>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</si>
  <si>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</si>
  <si>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</si>
  <si>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</si>
  <si>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</si>
  <si>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</si>
  <si>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</si>
  <si>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</si>
  <si>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</si>
  <si>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</si>
  <si>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</si>
  <si>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</si>
  <si>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</si>
  <si>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</si>
  <si>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</si>
  <si>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</si>
  <si>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</si>
  <si>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</si>
  <si>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</si>
  <si>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</si>
  <si>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</si>
  <si>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</si>
  <si>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</si>
  <si>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</si>
  <si>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</si>
  <si>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</si>
  <si>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</si>
  <si>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</si>
  <si>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</si>
  <si>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</si>
  <si>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</si>
  <si>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</si>
  <si>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</si>
  <si>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</si>
  <si>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</si>
  <si>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</si>
  <si>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</si>
  <si>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</si>
  <si>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</si>
  <si>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</si>
  <si>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</si>
  <si>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</si>
  <si>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</si>
  <si>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</si>
  <si>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</si>
  <si>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</si>
  <si>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</si>
  <si>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</si>
  <si>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</si>
  <si>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</si>
  <si>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</si>
  <si>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</si>
  <si>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</si>
  <si>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</si>
  <si>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</si>
  <si>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</si>
  <si>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</si>
  <si>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</si>
  <si>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</si>
  <si>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</si>
  <si>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</si>
  <si>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</si>
  <si>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</si>
  <si>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</si>
  <si>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</si>
  <si>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</si>
  <si>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</si>
  <si>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</si>
  <si>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</si>
  <si>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</si>
  <si>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</si>
  <si>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</si>
  <si>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</si>
  <si>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</si>
  <si>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</si>
  <si>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</si>
  <si>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</si>
  <si>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</si>
  <si>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</si>
  <si>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</si>
  <si>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</si>
  <si>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</si>
  <si>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</si>
  <si>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</si>
  <si>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</si>
  <si>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</si>
  <si>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</si>
  <si>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</si>
  <si>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</si>
  <si>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</si>
  <si>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</si>
  <si>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</si>
  <si>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</si>
  <si>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</si>
  <si>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</si>
  <si>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</si>
  <si>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</si>
  <si>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</si>
  <si>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</si>
  <si>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</si>
  <si>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</si>
  <si>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</si>
  <si>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</si>
  <si>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</si>
  <si>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</si>
  <si>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</si>
  <si>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</si>
  <si>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</si>
  <si>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</si>
  <si>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</si>
  <si>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</si>
  <si>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</si>
  <si>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</si>
  <si>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</si>
  <si>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</si>
  <si>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</si>
  <si>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</si>
  <si>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</si>
  <si>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</si>
  <si>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</si>
  <si>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</si>
  <si>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</si>
  <si>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</si>
  <si>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</si>
  <si>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</si>
  <si>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</si>
  <si>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</si>
  <si>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</si>
  <si>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</si>
  <si>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</si>
  <si>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</si>
  <si>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</si>
  <si>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</si>
  <si>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</si>
  <si>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</si>
  <si>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</si>
  <si>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</si>
  <si>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</si>
  <si>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</si>
  <si>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</si>
  <si>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</si>
  <si>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</si>
  <si>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</si>
  <si>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</si>
  <si>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</si>
  <si>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</si>
  <si>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</si>
  <si>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</si>
  <si>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</si>
  <si>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</si>
  <si>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</si>
  <si>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</si>
  <si>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</si>
  <si>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</si>
  <si>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</si>
  <si>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</si>
  <si>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</si>
  <si>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</si>
  <si>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</si>
  <si>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</si>
  <si>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</si>
  <si>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</si>
  <si>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</si>
  <si>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</si>
  <si>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</si>
  <si>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</si>
  <si>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</si>
  <si>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</si>
  <si>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</si>
  <si>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</si>
  <si>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</si>
  <si>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</si>
  <si>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</si>
  <si>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</si>
  <si>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</si>
  <si>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</si>
  <si>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</si>
  <si>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</si>
  <si>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</si>
  <si>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</si>
  <si>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</si>
  <si>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</si>
  <si>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</si>
  <si>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</si>
  <si>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</si>
  <si>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</si>
  <si>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</si>
  <si>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</si>
  <si>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</si>
  <si>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</si>
  <si>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</si>
  <si>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</si>
  <si>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</si>
  <si>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</si>
  <si>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</si>
  <si>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</si>
  <si>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</si>
  <si>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</si>
  <si>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</si>
  <si>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</si>
  <si>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</si>
  <si>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</si>
  <si>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</si>
  <si>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</si>
  <si>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</si>
  <si>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</si>
  <si>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</si>
  <si>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</si>
  <si>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</si>
  <si>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</si>
  <si>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</si>
  <si>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</si>
  <si>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</si>
  <si>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</si>
  <si>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</si>
  <si>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</si>
  <si>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</si>
  <si>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</si>
  <si>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</si>
  <si>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</si>
  <si>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</si>
  <si>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</si>
  <si>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</si>
  <si>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</si>
  <si>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</si>
  <si>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</si>
  <si>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</si>
  <si>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</si>
  <si>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</si>
  <si>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</si>
  <si>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</si>
  <si>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</si>
  <si>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</si>
  <si>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</si>
  <si>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</si>
  <si>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</si>
  <si>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</si>
  <si>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</si>
  <si>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</si>
  <si>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</si>
  <si>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</si>
  <si>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</si>
  <si>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</si>
  <si>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</si>
  <si>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</si>
  <si>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</si>
  <si>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</si>
  <si>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</si>
  <si>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</si>
  <si>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</si>
  <si>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</si>
  <si>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</si>
  <si>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</si>
  <si>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</si>
  <si>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</si>
  <si>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</si>
  <si>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</si>
  <si>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</si>
  <si>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</si>
  <si>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</si>
  <si>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</si>
  <si>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</si>
  <si>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</si>
  <si>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</si>
  <si>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</si>
  <si>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</si>
  <si>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</si>
  <si>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</si>
  <si>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</si>
  <si>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</si>
  <si>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</si>
  <si>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</si>
  <si>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</si>
  <si>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</si>
  <si>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</si>
  <si>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</si>
  <si>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</si>
  <si>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</si>
  <si>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</si>
  <si>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</si>
  <si>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</si>
  <si>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</si>
  <si>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</si>
  <si>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</si>
  <si>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</si>
  <si>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</si>
  <si>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</si>
  <si>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</si>
  <si>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</si>
  <si>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</si>
  <si>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</si>
  <si>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</si>
  <si>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</si>
  <si>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</si>
  <si>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</si>
  <si>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</si>
  <si>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</si>
  <si>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</si>
  <si>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</si>
  <si>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</si>
  <si>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</si>
  <si>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</si>
  <si>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</si>
  <si>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</si>
  <si>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</si>
  <si>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</si>
  <si>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</si>
  <si>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</si>
  <si>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</si>
  <si>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</si>
  <si>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</si>
  <si>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</si>
  <si>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</si>
  <si>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</si>
  <si>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</si>
  <si>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</si>
  <si>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</si>
  <si>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</si>
  <si>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</si>
  <si>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</si>
  <si>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</si>
  <si>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</si>
  <si>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</si>
  <si>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</si>
  <si>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</si>
  <si>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</si>
  <si>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</si>
  <si>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</si>
  <si>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</si>
  <si>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</si>
  <si>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</si>
  <si>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</si>
  <si>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</si>
  <si>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</si>
  <si>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</si>
  <si>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</si>
  <si>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</si>
  <si>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</si>
  <si>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</si>
  <si>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</si>
  <si>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</si>
  <si>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</si>
  <si>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</si>
  <si>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</si>
  <si>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</si>
  <si>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</si>
  <si>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</si>
  <si>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</si>
  <si>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</si>
  <si>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</si>
  <si>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</si>
  <si>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</si>
  <si>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</si>
  <si>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</si>
  <si>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</si>
  <si>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</si>
  <si>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</si>
  <si>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</si>
  <si>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</si>
  <si>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</si>
  <si>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</si>
  <si>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</si>
  <si>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</si>
  <si>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</si>
  <si>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</si>
  <si>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</si>
  <si>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</si>
  <si>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</si>
  <si>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</si>
  <si>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</si>
  <si>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</si>
  <si>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</si>
  <si>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</si>
  <si>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</si>
  <si>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</si>
  <si>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</si>
  <si>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</si>
  <si>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</si>
  <si>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</si>
  <si>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</si>
  <si>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</si>
  <si>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</si>
  <si>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</si>
  <si>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</si>
  <si>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</si>
  <si>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</si>
  <si>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</si>
  <si>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</si>
  <si>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</si>
  <si>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</si>
  <si>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</si>
  <si>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</si>
  <si>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</si>
  <si>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</si>
  <si>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</si>
  <si>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</si>
  <si>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</si>
  <si>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</si>
  <si>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</si>
  <si>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</si>
  <si>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</si>
  <si>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</si>
  <si>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</si>
  <si>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</si>
  <si>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</si>
  <si>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</si>
  <si>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</si>
  <si>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</si>
  <si>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</si>
  <si>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</si>
  <si>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</si>
  <si>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</si>
  <si>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</si>
  <si>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</si>
  <si>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</si>
  <si>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</si>
  <si>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</si>
  <si>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</si>
  <si>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</si>
  <si>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</si>
  <si>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</si>
  <si>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</si>
  <si>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</si>
  <si>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</si>
  <si>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</si>
  <si>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</si>
  <si>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</si>
  <si>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</si>
  <si>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</si>
  <si>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</si>
  <si>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</si>
  <si>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</si>
  <si>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</si>
  <si>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</si>
  <si>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</si>
  <si>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</si>
  <si>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</si>
  <si>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</si>
  <si>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</si>
  <si>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</si>
  <si>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</si>
  <si>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</si>
  <si>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</si>
  <si>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</si>
  <si>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</si>
  <si>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</si>
  <si>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</si>
  <si>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</si>
  <si>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</si>
  <si>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</si>
  <si>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</si>
  <si>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</si>
  <si>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</si>
  <si>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</si>
  <si>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</si>
  <si>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</si>
  <si>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</si>
  <si>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</si>
  <si>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</si>
  <si>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</si>
  <si>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</si>
  <si>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</si>
  <si>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</si>
  <si>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</si>
  <si>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</si>
  <si>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</si>
  <si>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</si>
  <si>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</si>
  <si>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</si>
  <si>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</si>
  <si>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</si>
  <si>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</si>
  <si>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</si>
  <si>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</si>
  <si>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</si>
  <si>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</si>
  <si>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</si>
  <si>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</si>
  <si>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</si>
  <si>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</si>
  <si>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</si>
  <si>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</si>
  <si>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</si>
  <si>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</si>
  <si>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</si>
  <si>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</si>
  <si>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</si>
  <si>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</si>
  <si>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</si>
  <si>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</si>
  <si>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</si>
  <si>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</si>
  <si>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</si>
  <si>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</si>
  <si>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</si>
  <si>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</si>
  <si>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</si>
  <si>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</si>
  <si>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</si>
  <si>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</si>
  <si>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</si>
  <si>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</si>
  <si>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</si>
  <si>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</si>
  <si>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</si>
  <si>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</si>
  <si>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</si>
  <si>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</si>
  <si>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</si>
  <si>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</si>
  <si>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</si>
  <si>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</si>
  <si>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</si>
  <si>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</si>
  <si>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</si>
  <si>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</si>
  <si>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</si>
  <si>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</si>
  <si>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</si>
  <si>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</si>
  <si>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</si>
  <si>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</si>
  <si>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</si>
  <si>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</si>
  <si>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</si>
  <si>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</si>
  <si>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</si>
  <si>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</si>
  <si>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</si>
  <si>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</si>
  <si>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</si>
  <si>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</si>
  <si>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</si>
  <si>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</si>
  <si>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</si>
  <si>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</si>
  <si>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</si>
  <si>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</si>
  <si>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</si>
  <si>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</si>
  <si>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</si>
  <si>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</si>
  <si>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</si>
  <si>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</si>
  <si>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</si>
  <si>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</si>
  <si>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</si>
  <si>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</si>
  <si>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</si>
  <si>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</si>
  <si>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</si>
  <si>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</si>
  <si>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</si>
  <si>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</si>
  <si>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</si>
  <si>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</si>
  <si>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</si>
  <si>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</si>
  <si>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</si>
  <si>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</si>
  <si>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</si>
  <si>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</si>
  <si>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</si>
  <si>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</si>
  <si>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</si>
  <si>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</si>
  <si>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</si>
  <si>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</si>
  <si>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</si>
  <si>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</si>
  <si>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</si>
  <si>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</si>
  <si>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</si>
  <si>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</si>
  <si>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</si>
  <si>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</si>
  <si>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</si>
  <si>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</si>
  <si>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</si>
  <si>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</si>
  <si>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</si>
  <si>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</si>
  <si>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</si>
  <si>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</si>
  <si>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</si>
  <si>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</si>
  <si>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</si>
  <si>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</si>
  <si>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</si>
  <si>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</si>
  <si>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</si>
  <si>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</si>
  <si>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</si>
  <si>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</si>
  <si>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</si>
  <si>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</si>
  <si>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</si>
  <si>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</si>
  <si>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</si>
  <si>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</si>
  <si>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</si>
  <si>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</si>
  <si>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</si>
  <si>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</si>
  <si>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</si>
  <si>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</si>
  <si>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</si>
  <si>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</si>
  <si>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</si>
  <si>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</si>
  <si>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</si>
  <si>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</si>
  <si>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</si>
  <si>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</si>
  <si>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</si>
  <si>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</si>
  <si>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</si>
  <si>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</si>
  <si>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</si>
  <si>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</si>
  <si>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</si>
  <si>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</si>
  <si>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</si>
  <si>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</si>
  <si>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</si>
  <si>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</si>
  <si>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</si>
  <si>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</si>
  <si>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</si>
  <si>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</si>
  <si>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</si>
  <si>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</si>
  <si>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</si>
  <si>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</si>
  <si>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</si>
  <si>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</si>
  <si>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</si>
  <si>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</si>
  <si>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</si>
  <si>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</si>
  <si>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</si>
  <si>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</si>
  <si>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</si>
  <si>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</si>
  <si>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</si>
  <si>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</si>
  <si>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</si>
  <si>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</si>
  <si>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</si>
  <si>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</si>
  <si>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</si>
  <si>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</si>
  <si>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</si>
  <si>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</si>
  <si>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</si>
  <si>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</si>
  <si>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</si>
  <si>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</si>
  <si>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</si>
  <si>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</si>
  <si>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</si>
  <si>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</si>
  <si>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</si>
  <si>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</si>
  <si>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</si>
  <si>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</si>
  <si>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</si>
  <si>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</si>
  <si>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</si>
  <si>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</si>
  <si>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</si>
  <si>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</si>
  <si>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</si>
  <si>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</si>
  <si>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</si>
  <si>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</si>
  <si>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</si>
  <si>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</si>
  <si>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</si>
  <si>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</si>
  <si>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</si>
  <si>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</si>
  <si>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</si>
  <si>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</si>
  <si>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</si>
  <si>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</si>
  <si>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</si>
  <si>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</si>
  <si>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</si>
  <si>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</si>
  <si>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</si>
  <si>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</si>
  <si>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</si>
  <si>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</si>
  <si>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</si>
  <si>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</si>
  <si>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</si>
  <si>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</si>
  <si>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</si>
  <si>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</si>
  <si>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</si>
  <si>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</si>
  <si>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</si>
  <si>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</si>
  <si>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</si>
  <si>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</si>
  <si>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</si>
  <si>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</si>
  <si>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</si>
  <si>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</si>
  <si>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</si>
  <si>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</si>
  <si>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</si>
  <si>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</si>
  <si>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</si>
  <si>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</si>
  <si>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</si>
  <si>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</si>
  <si>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</si>
  <si>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</si>
  <si>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</si>
  <si>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</si>
  <si>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</si>
  <si>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</si>
  <si>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</si>
  <si>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</si>
  <si>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</si>
  <si>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</si>
  <si>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</si>
  <si>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</si>
  <si>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</si>
  <si>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</si>
  <si>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</si>
  <si>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</si>
  <si>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</si>
  <si>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</si>
  <si>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</si>
  <si>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</si>
  <si>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</si>
  <si>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</si>
  <si>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</si>
  <si>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</si>
  <si>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</si>
  <si>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</si>
  <si>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</si>
  <si>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</si>
  <si>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</si>
  <si>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</si>
  <si>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</si>
  <si>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</si>
  <si>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</si>
  <si>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</si>
  <si>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</si>
  <si>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</si>
  <si>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</si>
  <si>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</si>
  <si>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</si>
  <si>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</si>
  <si>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</si>
  <si>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</si>
  <si>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WätaS Wärmetauscher Sachsen GmbH</t>
  </si>
  <si>
    <t>Mr. Enrico Böhme</t>
  </si>
  <si>
    <t>info@wastas.de</t>
  </si>
  <si>
    <t>0049037360 69 49 0</t>
  </si>
  <si>
    <t>Mrs. Yvonne Glöß</t>
  </si>
  <si>
    <t>Sales Assistent</t>
  </si>
  <si>
    <t>gloess@waetas.de</t>
  </si>
  <si>
    <t>0049 37360 69 49 39</t>
  </si>
  <si>
    <t xml:space="preserve">CMRT, SCIP,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</si>
</sst>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s>
  <fonts count="12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8" fontId="4" fillId="0" borderId="0"/>
    <xf numFmtId="0" fontId="85" fillId="0" borderId="0"/>
    <xf numFmtId="0" fontId="85"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5" fillId="0" borderId="0"/>
    <xf numFmtId="0" fontId="5" fillId="0" borderId="0"/>
    <xf numFmtId="0" fontId="5" fillId="0" borderId="0"/>
    <xf numFmtId="168" fontId="10" fillId="0" borderId="0"/>
    <xf numFmtId="0" fontId="5" fillId="0" borderId="0"/>
    <xf numFmtId="0" fontId="10" fillId="0" borderId="0"/>
    <xf numFmtId="0" fontId="5" fillId="0" borderId="0"/>
    <xf numFmtId="0" fontId="69" fillId="0" borderId="0">
      <alignment vertical="center"/>
    </xf>
    <xf numFmtId="168"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68" fontId="4" fillId="0" borderId="0"/>
    <xf numFmtId="168"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8" fontId="13" fillId="0" borderId="0"/>
    <xf numFmtId="0" fontId="85" fillId="0" borderId="0"/>
    <xf numFmtId="0" fontId="85" fillId="0" borderId="0"/>
    <xf numFmtId="0" fontId="85" fillId="0" borderId="0"/>
    <xf numFmtId="168"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9" fillId="0" borderId="0" applyNumberFormat="0" applyFill="0" applyBorder="0" applyAlignment="0" applyProtection="0"/>
  </cellStyleXfs>
  <cellXfs count="41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68"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68"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8"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9" fillId="45" borderId="56" xfId="492" applyFont="1" applyFill="1" applyBorder="1" applyAlignment="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9" fillId="45" borderId="56" xfId="829" applyNumberFormat="1" applyFill="1" applyBorder="1" applyAlignment="1" applyProtection="1">
      <alignment horizontal="left" vertical="center" wrapText="1"/>
      <protection locked="0"/>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67">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gloess@waetas.de" TargetMode="External"/><Relationship Id="rId1" Type="http://schemas.openxmlformats.org/officeDocument/2006/relationships/hyperlink" Target="mailto:info@wastas.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7"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baseColWidth="10" defaultColWidth="8.75" defaultRowHeight="12.75"/>
  <cols>
    <col min="1" max="1" width="20.5" style="58" customWidth="1"/>
    <col min="2" max="2" width="57.125" style="58" customWidth="1"/>
    <col min="3" max="16384" width="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xmlns:xlrd2="http://schemas.microsoft.com/office/spreadsheetml/2017/richdata2" ref="A2:B250">
    <sortCondition ref="B2:B250"/>
  </sortState>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baseColWidth="10" defaultColWidth="9" defaultRowHeight="12.75"/>
  <cols>
    <col min="2" max="2" width="27.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39AEFC24-A429-4B0A-9964-4CCA5BD854BE}"/>
    </customSheetView>
    <customSheetView guid="{4BDF1A28-30D5-449D-B20E-D6C97EF9FAE1}" showAutoFilter="1">
      <selection activeCell="C1" sqref="C1:D65536"/>
      <pageMargins left="0" right="0" top="0" bottom="0" header="0" footer="0"/>
      <pageSetup orientation="portrait"/>
      <autoFilter ref="B1:C1" xr:uid="{DFFDE5D2-819D-4248-8631-9C3B43363081}"/>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baseColWidth="10"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ht="22.5">
      <c r="A12" s="328"/>
      <c r="B12" s="185" t="s">
        <v>7</v>
      </c>
      <c r="C12" s="186" t="s">
        <v>8</v>
      </c>
      <c r="D12" s="187" t="s">
        <v>9</v>
      </c>
      <c r="E12" s="186" t="s">
        <v>10</v>
      </c>
      <c r="F12" s="186" t="s">
        <v>11</v>
      </c>
      <c r="G12" s="25"/>
    </row>
    <row r="13" spans="1:7" ht="67.5">
      <c r="A13" s="328"/>
      <c r="B13" s="247">
        <v>1</v>
      </c>
      <c r="C13" s="248" t="s">
        <v>12</v>
      </c>
      <c r="D13" s="249">
        <v>44489</v>
      </c>
      <c r="E13" s="250" t="s">
        <v>13</v>
      </c>
      <c r="F13" s="251" t="s">
        <v>14</v>
      </c>
      <c r="G13" s="25"/>
    </row>
    <row r="14" spans="1:7" ht="67.5">
      <c r="A14" s="328"/>
      <c r="B14" s="247">
        <v>1.01</v>
      </c>
      <c r="C14" s="248" t="s">
        <v>12</v>
      </c>
      <c r="D14" s="249">
        <v>44523</v>
      </c>
      <c r="E14" s="248" t="s">
        <v>14424</v>
      </c>
      <c r="F14" s="251" t="s">
        <v>14</v>
      </c>
      <c r="G14" s="25"/>
    </row>
    <row r="15" spans="1:7" ht="67.5">
      <c r="A15" s="328"/>
      <c r="B15" s="247">
        <v>1.02</v>
      </c>
      <c r="C15" s="248" t="s">
        <v>12</v>
      </c>
      <c r="D15" s="249">
        <v>44553</v>
      </c>
      <c r="E15" s="248" t="s">
        <v>14429</v>
      </c>
      <c r="F15" s="251" t="s">
        <v>14</v>
      </c>
      <c r="G15" s="25"/>
    </row>
    <row r="16" spans="1:7" ht="13.5" thickBot="1">
      <c r="A16" s="329"/>
      <c r="B16" s="330" t="str">
        <f ca="1">OFFSET(L!$C$1,MATCH("General"&amp;"Cpy",L!$A:$A,0)-1,SL,,)</f>
        <v>© 2021 Responsible Minerals Initiative. All rights reserved.</v>
      </c>
      <c r="C16" s="330"/>
      <c r="D16" s="330"/>
      <c r="E16" s="330"/>
      <c r="F16" s="330"/>
      <c r="G16" s="26"/>
    </row>
    <row r="17" ht="13.5" thickTop="1"/>
  </sheetData>
  <sheetProtection algorithmName="SHA-512" hashValue="BsI09+eUEt0aAdg/RnLlIOWyTsQC29yle5eBvzkyvMaOSA2IFjti1jckV4hbC+8kHp50OcHXbIBFdAzKo/OMtg==" saltValue="JnsFIyfGteGuZReqx0qXDQ=="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75">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35">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3.5" thickBot="1">
      <c r="A23" s="192"/>
      <c r="B23" s="193"/>
      <c r="C23" s="193"/>
      <c r="D23" s="339"/>
    </row>
    <row r="24" spans="1:5" ht="13.5" thickTop="1"/>
  </sheetData>
  <sheetProtection algorithmName="SHA-512" hashValue="mTN4NOP47UH44838h3KZOUo2VKXnBDBmeLaYBd6ORbLVQdAuWqmye0x9UfOlSAk8R8GfVv/5JoXrHyv/ZYpWMA==" saltValue="1Vys5TehRYS/LZcotCquj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abSelected="1" topLeftCell="A18" zoomScaleNormal="100" workbookViewId="0">
      <selection activeCell="E87" sqref="E87"/>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79"/>
      <c r="B1" s="380"/>
      <c r="C1" s="380"/>
      <c r="D1" s="380"/>
      <c r="E1" s="380"/>
      <c r="F1" s="380"/>
      <c r="G1" s="380"/>
      <c r="H1" s="380"/>
      <c r="I1" s="380"/>
      <c r="J1" s="380"/>
      <c r="K1" s="381"/>
      <c r="L1" s="103"/>
      <c r="P1" s="3"/>
      <c r="Q1" s="3"/>
      <c r="R1" s="3"/>
      <c r="S1" s="3"/>
      <c r="T1" s="3"/>
      <c r="U1" s="3"/>
      <c r="V1" s="3"/>
      <c r="W1" s="3"/>
      <c r="X1" s="3"/>
      <c r="Y1" s="3"/>
      <c r="Z1" s="3"/>
      <c r="AA1" s="3"/>
      <c r="AB1" s="3"/>
      <c r="AC1" s="3"/>
      <c r="AD1" s="3"/>
      <c r="AE1" s="3"/>
      <c r="AF1" s="3"/>
      <c r="AG1" s="3"/>
      <c r="AH1" s="3"/>
    </row>
    <row r="2" spans="1:34" ht="81.75" customHeight="1">
      <c r="A2" s="28"/>
      <c r="B2" s="326"/>
      <c r="C2" s="29"/>
      <c r="D2" s="382" t="str">
        <f ca="1">OFFSET(L!$C$1,MATCH("Declaration"&amp;ADDRESS(ROW(),COLUMN(),4),L!$A:$A,0)-1,SL,,)</f>
        <v>Extended Mineral Reporting Template (EMRT)</v>
      </c>
      <c r="E2" s="383"/>
      <c r="F2" s="383"/>
      <c r="G2" s="383"/>
      <c r="H2" s="383"/>
      <c r="I2" s="383"/>
      <c r="J2" s="38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400"/>
      <c r="F3" s="401"/>
      <c r="G3" s="401"/>
      <c r="H3" s="401"/>
      <c r="I3" s="401"/>
      <c r="J3" s="202" t="s">
        <v>14430</v>
      </c>
      <c r="K3" s="30"/>
      <c r="L3" s="103"/>
      <c r="P3" s="39">
        <f>MATCH($D$3,LN,0)</f>
        <v>1</v>
      </c>
    </row>
    <row r="4" spans="1:34" ht="15.75">
      <c r="A4" s="28"/>
      <c r="B4" s="388" t="str">
        <f ca="1">OFFSET(L!$C$1,MATCH("Declaration"&amp;ADDRESS(ROW(),COLUMN(),4),L!$A:$A,0)-1,SL,,)</f>
        <v>The purpose of this document is to collect sourcing information on cobalt or natural mica.</v>
      </c>
      <c r="C4" s="388"/>
      <c r="D4" s="388"/>
      <c r="E4" s="388"/>
      <c r="F4" s="388"/>
      <c r="G4" s="388"/>
      <c r="H4" s="388"/>
      <c r="I4" s="392" t="str">
        <f ca="1">OFFSET(L!$C$1,MATCH("Declaration"&amp;ADDRESS(ROW(),COLUMN(),4),L!$A:$A,0)-1,SL,,)</f>
        <v>Link to Terms &amp; Conditions</v>
      </c>
      <c r="J4" s="39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88" t="str">
        <f ca="1">OFFSET(L!$C$1,MATCH("Declaration"&amp;ADDRESS(ROW(),COLUMN(),4),L!$A:$A,0)-1,SL,,)</f>
        <v>Mandatory fields are noted with an asterisk (*).  Consult the instructions tab for guidance on how to answer each question.</v>
      </c>
      <c r="C6" s="388"/>
      <c r="D6" s="388"/>
      <c r="E6" s="388"/>
      <c r="F6" s="388"/>
      <c r="G6" s="388"/>
      <c r="H6" s="388"/>
      <c r="I6" s="388"/>
      <c r="J6" s="388"/>
      <c r="K6" s="30"/>
      <c r="L6" s="105" t="s">
        <v>21</v>
      </c>
      <c r="P6" s="3"/>
      <c r="Q6" s="3"/>
      <c r="R6" s="3"/>
      <c r="S6" s="3"/>
      <c r="T6" s="3"/>
      <c r="U6" s="3"/>
      <c r="V6" s="3"/>
      <c r="W6" s="3"/>
      <c r="X6" s="3"/>
      <c r="Y6" s="3"/>
      <c r="Z6" s="3"/>
      <c r="AA6" s="3"/>
      <c r="AB6" s="3"/>
      <c r="AC6" s="3"/>
      <c r="AD6" s="3"/>
      <c r="AE6" s="3"/>
      <c r="AF6" s="3"/>
      <c r="AG6" s="3"/>
      <c r="AH6" s="3"/>
    </row>
    <row r="7" spans="1:34" ht="15.75">
      <c r="A7" s="28"/>
      <c r="B7" s="393" t="str">
        <f ca="1">OFFSET(L!$C$1,MATCH("Declaration"&amp;ADDRESS(ROW(),COLUMN(),4),L!$A:$A,0)-1,SL,,)</f>
        <v>Company Information</v>
      </c>
      <c r="C7" s="393"/>
      <c r="D7" s="393"/>
      <c r="E7" s="393"/>
      <c r="F7" s="393"/>
      <c r="G7" s="393"/>
      <c r="H7" s="393"/>
      <c r="I7" s="393"/>
      <c r="J7" s="39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85" t="s">
        <v>14432</v>
      </c>
      <c r="E8" s="386"/>
      <c r="F8" s="386"/>
      <c r="G8" s="386"/>
      <c r="H8" s="386"/>
      <c r="I8" s="386"/>
      <c r="J8" s="387"/>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9" t="s">
        <v>22</v>
      </c>
      <c r="E9" s="370"/>
      <c r="F9" s="370"/>
      <c r="G9" s="371"/>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94" t="str">
        <f ca="1">OFFSET(L!$C$1,MATCH("Declaration"&amp;ADDRESS(ROW(),COLUMN(),4)&amp;LEFT($D$9,1),L!$A:$A,0)-1,SL,,)</f>
        <v>Description of Scope:</v>
      </c>
      <c r="C10" s="113"/>
      <c r="D10" s="389"/>
      <c r="E10" s="390"/>
      <c r="F10" s="390"/>
      <c r="G10" s="390"/>
      <c r="H10" s="390"/>
      <c r="I10" s="390"/>
      <c r="J10" s="391"/>
      <c r="K10" s="30"/>
      <c r="L10" s="105"/>
      <c r="Q10" s="3"/>
      <c r="R10" s="3"/>
      <c r="S10" s="3"/>
      <c r="T10" s="3"/>
      <c r="U10" s="3"/>
      <c r="V10" s="3"/>
      <c r="W10" s="3"/>
      <c r="X10" s="3"/>
      <c r="Y10" s="3"/>
      <c r="Z10" s="3"/>
      <c r="AA10" s="3"/>
      <c r="AB10" s="3"/>
      <c r="AC10" s="3"/>
      <c r="AD10" s="3"/>
      <c r="AE10" s="3"/>
      <c r="AF10" s="3"/>
      <c r="AG10" s="3"/>
      <c r="AH10" s="3"/>
    </row>
    <row r="11" spans="1:34" ht="15.75">
      <c r="A11" s="32"/>
      <c r="B11" s="395"/>
      <c r="C11" s="113"/>
      <c r="D11" s="396" t="str">
        <f ca="1">IF(D9=Q9,OFFSET(L!$C$1,MATCH("Declaration"&amp;ADDRESS(ROW(),COLUMN(),4),L!$A:$A,0)-1,SL,,),"")</f>
        <v/>
      </c>
      <c r="E11" s="397"/>
      <c r="F11" s="397"/>
      <c r="G11" s="397"/>
      <c r="H11" s="397"/>
      <c r="I11" s="397"/>
      <c r="J11" s="39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5"/>
      <c r="E12" s="366"/>
      <c r="F12" s="366"/>
      <c r="G12" s="366"/>
      <c r="H12" s="366"/>
      <c r="I12" s="366"/>
      <c r="J12" s="36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5"/>
      <c r="E13" s="366"/>
      <c r="F13" s="366"/>
      <c r="G13" s="366"/>
      <c r="H13" s="366"/>
      <c r="I13" s="366"/>
      <c r="J13" s="36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5"/>
      <c r="E14" s="366"/>
      <c r="F14" s="366"/>
      <c r="G14" s="366"/>
      <c r="H14" s="366"/>
      <c r="I14" s="366"/>
      <c r="J14" s="36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5" t="s">
        <v>14433</v>
      </c>
      <c r="E15" s="366"/>
      <c r="F15" s="366"/>
      <c r="G15" s="366"/>
      <c r="H15" s="366"/>
      <c r="I15" s="366"/>
      <c r="J15" s="36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16" t="s">
        <v>14434</v>
      </c>
      <c r="E16" s="366"/>
      <c r="F16" s="366"/>
      <c r="G16" s="366"/>
      <c r="H16" s="366"/>
      <c r="I16" s="366"/>
      <c r="J16" s="36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5" t="s">
        <v>14435</v>
      </c>
      <c r="E17" s="366"/>
      <c r="F17" s="366"/>
      <c r="G17" s="366"/>
      <c r="H17" s="366"/>
      <c r="I17" s="366"/>
      <c r="J17" s="36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65" t="s">
        <v>14436</v>
      </c>
      <c r="E18" s="366"/>
      <c r="F18" s="366"/>
      <c r="G18" s="366"/>
      <c r="H18" s="366"/>
      <c r="I18" s="366"/>
      <c r="J18" s="36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5" t="s">
        <v>14437</v>
      </c>
      <c r="E19" s="366"/>
      <c r="F19" s="366"/>
      <c r="G19" s="366"/>
      <c r="H19" s="366"/>
      <c r="I19" s="366"/>
      <c r="J19" s="36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16" t="s">
        <v>14438</v>
      </c>
      <c r="E20" s="366"/>
      <c r="F20" s="366"/>
      <c r="G20" s="366"/>
      <c r="H20" s="366"/>
      <c r="I20" s="366"/>
      <c r="J20" s="36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5" t="s">
        <v>14439</v>
      </c>
      <c r="E21" s="366"/>
      <c r="F21" s="366"/>
      <c r="G21" s="366"/>
      <c r="H21" s="366"/>
      <c r="I21" s="366"/>
      <c r="J21" s="36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4">
        <v>44952</v>
      </c>
      <c r="E22" s="375"/>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8"/>
      <c r="E23" s="36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99" t="str">
        <f ca="1">OFFSET(L!$C$1,MATCH("Declaration"&amp;ADDRESS(ROW(),COLUMN(),4),L!$A:$A,0)-1,SL,,)</f>
        <v>Answer the following questions 1 - 7 based on the declaration scope indicated above</v>
      </c>
      <c r="C24" s="399"/>
      <c r="D24" s="399"/>
      <c r="E24" s="399"/>
      <c r="F24" s="399"/>
      <c r="G24" s="399"/>
      <c r="H24" s="399"/>
      <c r="I24" s="399"/>
      <c r="J24" s="399"/>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2" t="str">
        <f ca="1">OFFSET(L!$C$1,MATCH("Declaration"&amp;ADDRESS(ROW(),COLUMN(),4),L!$A:$A,0)-1,SL,,)</f>
        <v>Answer</v>
      </c>
      <c r="E25" s="362"/>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0" t="s">
        <v>25</v>
      </c>
      <c r="E26" s="341"/>
      <c r="F26" s="9"/>
      <c r="G26" s="342"/>
      <c r="H26" s="343"/>
      <c r="I26" s="343"/>
      <c r="J26" s="34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40" t="s">
        <v>25</v>
      </c>
      <c r="E27" s="341"/>
      <c r="F27" s="9"/>
      <c r="G27" s="342"/>
      <c r="H27" s="343"/>
      <c r="I27" s="343"/>
      <c r="J27" s="34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9" t="s">
        <v>25</v>
      </c>
      <c r="E28" s="350"/>
      <c r="F28" s="9"/>
      <c r="G28" s="342"/>
      <c r="H28" s="343"/>
      <c r="I28" s="343"/>
      <c r="J28" s="34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2" t="s">
        <v>25</v>
      </c>
      <c r="E29" s="373"/>
      <c r="F29" s="9"/>
      <c r="G29" s="342"/>
      <c r="H29" s="343"/>
      <c r="I29" s="343"/>
      <c r="J29" s="34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4" t="str">
        <f ca="1">D25</f>
        <v>Answer</v>
      </c>
      <c r="E31" s="364"/>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0"/>
      <c r="E32" s="341"/>
      <c r="F32" s="9"/>
      <c r="G32" s="342"/>
      <c r="H32" s="343"/>
      <c r="I32" s="343"/>
      <c r="J32" s="344"/>
      <c r="K32" s="30"/>
      <c r="L32" s="106"/>
      <c r="P32" s="39" t="str">
        <f>IF(OR(D$26="No",D$26="Unknown",D$26="Not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0"/>
      <c r="E33" s="341"/>
      <c r="F33" s="9"/>
      <c r="G33" s="342"/>
      <c r="H33" s="343"/>
      <c r="I33" s="343"/>
      <c r="J33" s="344"/>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9" t="s">
        <v>25</v>
      </c>
      <c r="E34" s="350"/>
      <c r="F34" s="9"/>
      <c r="G34" s="342"/>
      <c r="H34" s="343"/>
      <c r="I34" s="343"/>
      <c r="J34" s="34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9" t="s">
        <v>25</v>
      </c>
      <c r="E35" s="350"/>
      <c r="F35" s="9"/>
      <c r="G35" s="342"/>
      <c r="H35" s="343"/>
      <c r="I35" s="343"/>
      <c r="J35" s="34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4" t="str">
        <f ca="1">D25</f>
        <v>Answer</v>
      </c>
      <c r="E37" s="364"/>
      <c r="F37" s="15"/>
      <c r="G37" s="38" t="str">
        <f ca="1">G25</f>
        <v>Comments</v>
      </c>
      <c r="H37" s="378"/>
      <c r="I37" s="378"/>
      <c r="J37" s="378"/>
      <c r="K37" s="30"/>
      <c r="L37" s="100" t="s">
        <v>21</v>
      </c>
      <c r="P37" s="39">
        <f>COUNTIF(D$26:D$27,"No")+COUNTIF(D$26:D$27,"Unknown")+COUNTIF(D$32:D$33,"No")+COUNTIF(D$32:D$33,"Unknown")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0"/>
      <c r="E38" s="341"/>
      <c r="F38" s="41"/>
      <c r="G38" s="342"/>
      <c r="H38" s="343"/>
      <c r="I38" s="343"/>
      <c r="J38" s="34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0"/>
      <c r="E39" s="341"/>
      <c r="F39" s="41"/>
      <c r="G39" s="342"/>
      <c r="H39" s="343"/>
      <c r="I39" s="343"/>
      <c r="J39" s="34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0"/>
      <c r="E40" s="341"/>
      <c r="F40" s="41"/>
      <c r="G40" s="342"/>
      <c r="H40" s="343"/>
      <c r="I40" s="343"/>
      <c r="J40" s="34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0"/>
      <c r="E41" s="341"/>
      <c r="F41" s="41"/>
      <c r="G41" s="342"/>
      <c r="H41" s="343"/>
      <c r="I41" s="343"/>
      <c r="J41" s="34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4" t="str">
        <f ca="1">D25</f>
        <v>Answer</v>
      </c>
      <c r="E43" s="364"/>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0"/>
      <c r="E44" s="341"/>
      <c r="F44" s="41"/>
      <c r="G44" s="342"/>
      <c r="H44" s="343"/>
      <c r="I44" s="343"/>
      <c r="J44" s="34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0"/>
      <c r="E45" s="341"/>
      <c r="F45" s="41"/>
      <c r="G45" s="342"/>
      <c r="H45" s="343"/>
      <c r="I45" s="343"/>
      <c r="J45" s="34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9"/>
      <c r="E46" s="350"/>
      <c r="F46" s="41"/>
      <c r="G46" s="342"/>
      <c r="H46" s="343"/>
      <c r="I46" s="343"/>
      <c r="J46" s="34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9"/>
      <c r="E47" s="350"/>
      <c r="F47" s="41"/>
      <c r="G47" s="342"/>
      <c r="H47" s="343"/>
      <c r="I47" s="343"/>
      <c r="J47" s="34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4" t="str">
        <f ca="1">D25</f>
        <v>Answer</v>
      </c>
      <c r="E49" s="364"/>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402"/>
      <c r="E50" s="403"/>
      <c r="F50" s="41"/>
      <c r="G50" s="342"/>
      <c r="H50" s="343"/>
      <c r="I50" s="343"/>
      <c r="J50" s="34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402"/>
      <c r="E51" s="403"/>
      <c r="F51" s="41"/>
      <c r="G51" s="342"/>
      <c r="H51" s="343"/>
      <c r="I51" s="343"/>
      <c r="J51" s="34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76"/>
      <c r="E52" s="377"/>
      <c r="F52" s="41"/>
      <c r="G52" s="342"/>
      <c r="H52" s="343"/>
      <c r="I52" s="343"/>
      <c r="J52" s="34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76"/>
      <c r="E53" s="377"/>
      <c r="F53" s="41"/>
      <c r="G53" s="342"/>
      <c r="H53" s="343"/>
      <c r="I53" s="343"/>
      <c r="J53" s="34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4" t="str">
        <f ca="1">D25</f>
        <v>Answer</v>
      </c>
      <c r="E55" s="364"/>
      <c r="F55" s="15"/>
      <c r="G55" s="38" t="str">
        <f ca="1">G25</f>
        <v>Comments</v>
      </c>
      <c r="H55" s="363"/>
      <c r="I55" s="363"/>
      <c r="J55" s="363"/>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60"/>
      <c r="E56" s="361"/>
      <c r="F56" s="41"/>
      <c r="G56" s="342"/>
      <c r="H56" s="343"/>
      <c r="I56" s="343"/>
      <c r="J56" s="34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0"/>
      <c r="E57" s="341"/>
      <c r="F57" s="41"/>
      <c r="G57" s="342"/>
      <c r="H57" s="343"/>
      <c r="I57" s="343"/>
      <c r="J57" s="34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9"/>
      <c r="E58" s="350"/>
      <c r="F58" s="41"/>
      <c r="G58" s="342"/>
      <c r="H58" s="343"/>
      <c r="I58" s="343"/>
      <c r="J58" s="34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9"/>
      <c r="E59" s="350"/>
      <c r="F59" s="41"/>
      <c r="G59" s="342"/>
      <c r="H59" s="343"/>
      <c r="I59" s="343"/>
      <c r="J59" s="34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4" t="str">
        <f ca="1">D25</f>
        <v>Answer</v>
      </c>
      <c r="E61" s="364"/>
      <c r="F61" s="15"/>
      <c r="G61" s="38" t="str">
        <f ca="1">G25</f>
        <v>Comments</v>
      </c>
      <c r="H61" s="363" t="str">
        <f>IF(Q69="(*)","Click here to enter smelter names","")</f>
        <v/>
      </c>
      <c r="I61" s="363"/>
      <c r="J61" s="363"/>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0"/>
      <c r="E62" s="341"/>
      <c r="F62" s="42"/>
      <c r="G62" s="342"/>
      <c r="H62" s="343"/>
      <c r="I62" s="343"/>
      <c r="J62" s="34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0"/>
      <c r="E63" s="341"/>
      <c r="F63" s="42"/>
      <c r="G63" s="342"/>
      <c r="H63" s="343"/>
      <c r="I63" s="343"/>
      <c r="J63" s="34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9"/>
      <c r="E64" s="350"/>
      <c r="F64" s="42"/>
      <c r="G64" s="342"/>
      <c r="H64" s="343"/>
      <c r="I64" s="343"/>
      <c r="J64" s="34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9"/>
      <c r="E65" s="350"/>
      <c r="F65" s="44"/>
      <c r="G65" s="342"/>
      <c r="H65" s="343"/>
      <c r="I65" s="343"/>
      <c r="J65" s="34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51" t="str">
        <f ca="1">OFFSET(L!$C$1,MATCH("Declaration"&amp;ADDRESS(ROW(),COLUMN(),4),L!$A:$A,0)-1,SL,,)</f>
        <v>Answer the Following Questions at a Company Level</v>
      </c>
      <c r="C67" s="351"/>
      <c r="D67" s="351"/>
      <c r="E67" s="351"/>
      <c r="F67" s="351"/>
      <c r="G67" s="351"/>
      <c r="H67" s="351"/>
      <c r="I67" s="351"/>
      <c r="J67" s="351"/>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2" t="str">
        <f ca="1">D25</f>
        <v>Answer</v>
      </c>
      <c r="E68" s="362"/>
      <c r="F68" s="47"/>
      <c r="G68" s="362" t="str">
        <f ca="1">G25</f>
        <v>Comments</v>
      </c>
      <c r="H68" s="362" t="e">
        <f>HLOOKUP(SL,LT,$O68,0)</f>
        <v>#NAME?</v>
      </c>
      <c r="I68" s="362"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0" t="s">
        <v>25</v>
      </c>
      <c r="E69" s="341"/>
      <c r="F69" s="51"/>
      <c r="G69" s="342"/>
      <c r="H69" s="343"/>
      <c r="I69" s="343"/>
      <c r="J69" s="344"/>
      <c r="K69" s="30"/>
      <c r="L69" s="102" t="s">
        <v>21</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54"/>
      <c r="H70" s="354"/>
      <c r="I70" s="354"/>
      <c r="J70" s="354"/>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40" t="s">
        <v>25</v>
      </c>
      <c r="E71" s="341"/>
      <c r="F71" s="51"/>
      <c r="G71" s="356"/>
      <c r="H71" s="357"/>
      <c r="I71" s="357"/>
      <c r="J71" s="358"/>
      <c r="K71" s="30"/>
      <c r="L71" s="102" t="s">
        <v>21</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48"/>
      <c r="E73" s="348"/>
      <c r="F73" s="258"/>
      <c r="G73" s="359"/>
      <c r="H73" s="359"/>
      <c r="I73" s="359"/>
      <c r="J73" s="359"/>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0" t="s">
        <v>25</v>
      </c>
      <c r="E74" s="341"/>
      <c r="F74" s="9"/>
      <c r="G74" s="342"/>
      <c r="H74" s="343"/>
      <c r="I74" s="343"/>
      <c r="J74" s="34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0" t="s">
        <v>25</v>
      </c>
      <c r="E75" s="341"/>
      <c r="F75" s="9"/>
      <c r="G75" s="342"/>
      <c r="H75" s="343"/>
      <c r="I75" s="343"/>
      <c r="J75" s="34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0" t="s">
        <v>25</v>
      </c>
      <c r="E77" s="341"/>
      <c r="F77" s="51"/>
      <c r="G77" s="342"/>
      <c r="H77" s="343"/>
      <c r="I77" s="343"/>
      <c r="J77" s="344"/>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52" t="s">
        <v>38</v>
      </c>
      <c r="E79" s="353"/>
      <c r="F79" s="51"/>
      <c r="G79" s="342" t="s">
        <v>14440</v>
      </c>
      <c r="H79" s="343"/>
      <c r="I79" s="343"/>
      <c r="J79" s="344"/>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354"/>
      <c r="H80" s="354"/>
      <c r="I80" s="354"/>
      <c r="J80" s="354"/>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40" t="s">
        <v>25</v>
      </c>
      <c r="E81" s="341"/>
      <c r="F81" s="51"/>
      <c r="G81" s="342"/>
      <c r="H81" s="343"/>
      <c r="I81" s="343"/>
      <c r="J81" s="344"/>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355"/>
      <c r="H82" s="355"/>
      <c r="I82" s="355"/>
      <c r="J82" s="355"/>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40" t="s">
        <v>25</v>
      </c>
      <c r="E83" s="341"/>
      <c r="F83" s="51"/>
      <c r="G83" s="342"/>
      <c r="H83" s="343"/>
      <c r="I83" s="343"/>
      <c r="J83" s="344"/>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47" t="str">
        <f>IF(OR($D$8="",$I$3=""),"","Click here to check required fields completion")</f>
        <v/>
      </c>
      <c r="C84" s="347"/>
      <c r="D84" s="347"/>
      <c r="E84" s="347"/>
      <c r="F84" s="347"/>
      <c r="G84" s="347"/>
      <c r="H84" s="347"/>
      <c r="I84" s="347"/>
      <c r="J84" s="347"/>
      <c r="K84" s="30"/>
      <c r="L84" s="103"/>
      <c r="P84" s="3"/>
      <c r="Q84" s="3"/>
      <c r="R84" s="3"/>
      <c r="S84" s="3"/>
      <c r="T84" s="3"/>
      <c r="U84" s="3"/>
      <c r="V84" s="3"/>
      <c r="W84" s="3"/>
      <c r="X84" s="3"/>
      <c r="Y84" s="3">
        <v>86</v>
      </c>
      <c r="Z84" s="3"/>
      <c r="AA84" s="3"/>
      <c r="AB84" s="3"/>
      <c r="AC84" s="3"/>
      <c r="AD84" s="3"/>
      <c r="AE84" s="3"/>
      <c r="AF84" s="3"/>
      <c r="AG84" s="3"/>
      <c r="AH84" s="3"/>
    </row>
    <row r="85" spans="1:34" ht="15.75" thickBot="1">
      <c r="A85" s="345" t="str">
        <f ca="1">OFFSET(L!$C$1,MATCH("General"&amp;"Cpy",L!$A:$A,0)-1,SL,,)</f>
        <v>© 2021 Responsible Minerals Initiative. All rights reserved.</v>
      </c>
      <c r="B85" s="346"/>
      <c r="C85" s="346"/>
      <c r="D85" s="346"/>
      <c r="E85" s="346"/>
      <c r="F85" s="346"/>
      <c r="G85" s="346"/>
      <c r="H85" s="346"/>
      <c r="I85" s="346"/>
      <c r="J85" s="34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5.7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7" type="noConversion"/>
  <conditionalFormatting sqref="D26:E26">
    <cfRule type="expression" dxfId="66" priority="122" stopIfTrue="1">
      <formula>IF($D$26="",TRUE)</formula>
    </cfRule>
  </conditionalFormatting>
  <conditionalFormatting sqref="D27:E27">
    <cfRule type="expression" dxfId="65" priority="129" stopIfTrue="1">
      <formula>IF($D$27="",TRUE)</formula>
    </cfRule>
  </conditionalFormatting>
  <conditionalFormatting sqref="D8:J8">
    <cfRule type="expression" dxfId="64" priority="136" stopIfTrue="1">
      <formula>IF($D$8="",TRUE)</formula>
    </cfRule>
  </conditionalFormatting>
  <conditionalFormatting sqref="D9:G9">
    <cfRule type="expression" dxfId="63" priority="137" stopIfTrue="1">
      <formula>IF($D$9="",TRUE)</formula>
    </cfRule>
  </conditionalFormatting>
  <conditionalFormatting sqref="D15:J15">
    <cfRule type="expression" dxfId="62" priority="138" stopIfTrue="1">
      <formula>IF($D$15="",TRUE)</formula>
    </cfRule>
  </conditionalFormatting>
  <conditionalFormatting sqref="D16:J16">
    <cfRule type="expression" dxfId="61" priority="139" stopIfTrue="1">
      <formula>IF($D$16="",TRUE)</formula>
    </cfRule>
  </conditionalFormatting>
  <conditionalFormatting sqref="D17:J17">
    <cfRule type="expression" dxfId="60" priority="140" stopIfTrue="1">
      <formula>IF($D$17="",TRUE)</formula>
    </cfRule>
  </conditionalFormatting>
  <conditionalFormatting sqref="D18:J18">
    <cfRule type="expression" dxfId="59" priority="141" stopIfTrue="1">
      <formula>IF($D$18="",TRUE)</formula>
    </cfRule>
  </conditionalFormatting>
  <conditionalFormatting sqref="D22:E22">
    <cfRule type="expression" dxfId="58" priority="144" stopIfTrue="1">
      <formula>IF($D$22="",TRUE)</formula>
    </cfRule>
  </conditionalFormatting>
  <conditionalFormatting sqref="D10:J10">
    <cfRule type="expression" dxfId="57" priority="41" stopIfTrue="1">
      <formula>IF($D$9=$Q$9,TRUE)</formula>
    </cfRule>
    <cfRule type="expression" dxfId="56" priority="151" stopIfTrue="1">
      <formula>IF(AND($D$10="",$D$9=$R$9),TRUE)</formula>
    </cfRule>
  </conditionalFormatting>
  <conditionalFormatting sqref="D40:E40 D46:E46 D52:E52 D58:E58 D64:E64">
    <cfRule type="expression" dxfId="55" priority="34" stopIfTrue="1">
      <formula>$P$28=""</formula>
    </cfRule>
  </conditionalFormatting>
  <conditionalFormatting sqref="D41:E41 D47:E47 D53:E53 D59:E59 D65:E65">
    <cfRule type="expression" dxfId="54" priority="149" stopIfTrue="1">
      <formula>$P$29=""</formula>
    </cfRule>
  </conditionalFormatting>
  <conditionalFormatting sqref="D40 D46 D52 D58 D64">
    <cfRule type="expression" dxfId="53" priority="147" stopIfTrue="1">
      <formula>IF(AND(OR($D$28="Yes",$D$28=""),D40=""),1,0)</formula>
    </cfRule>
  </conditionalFormatting>
  <conditionalFormatting sqref="D38:E38 D44:E44 D50:E50 D56:E56 D62:E62">
    <cfRule type="expression" dxfId="52" priority="38" stopIfTrue="1">
      <formula>IF(AND(OR($D$26="No",$D$26="Unknown",$D$26="Not applicable for this declaration",$D$32="No",$D$32="Unknown"),D38=""),1,0)</formula>
    </cfRule>
    <cfRule type="expression" dxfId="51" priority="39" stopIfTrue="1">
      <formula>IF(AND(OR($D$26="Yes",$D$26=""),D38=""),1,0)</formula>
    </cfRule>
  </conditionalFormatting>
  <conditionalFormatting sqref="G79:J79">
    <cfRule type="expression" dxfId="50" priority="32" stopIfTrue="1">
      <formula>IF(AND($D$79="Yes, using other format (describe)",$G$79=""),TRUE)</formula>
    </cfRule>
  </conditionalFormatting>
  <conditionalFormatting sqref="D39:E39 D45:E45 D51:E51 D57:E57 D63:E63">
    <cfRule type="expression" dxfId="49" priority="145" stopIfTrue="1">
      <formula>IF(AND(OR($D$27="No",$D$27="Unknown",$D$27="Not applicable for this declaration",$D$33="No",$D$33="Unknown"),D39=""),1,0)</formula>
    </cfRule>
    <cfRule type="expression" dxfId="48" priority="146" stopIfTrue="1">
      <formula>IF(AND(OR($D$27="Yes",$D$27=""),D39=""),1,0)</formula>
    </cfRule>
  </conditionalFormatting>
  <conditionalFormatting sqref="D41:E41 D47:E47 D53:E53 D59:E59 D65:E65">
    <cfRule type="expression" dxfId="47" priority="150" stopIfTrue="1">
      <formula>IF(AND(OR($D$29="Yes",$D$29=""),D41=""),1,0)</formula>
    </cfRule>
  </conditionalFormatting>
  <conditionalFormatting sqref="D20:J20">
    <cfRule type="expression" dxfId="46" priority="20" stopIfTrue="1">
      <formula>IF($D$20="",TRUE)</formula>
    </cfRule>
  </conditionalFormatting>
  <conditionalFormatting sqref="D28 D40 D46 D52 D58 D64">
    <cfRule type="expression" dxfId="45" priority="18">
      <formula>IF($D$28="No",TRUE)</formula>
    </cfRule>
  </conditionalFormatting>
  <conditionalFormatting sqref="D29 D41 D47 D53 D59 D65">
    <cfRule type="expression" dxfId="44" priority="17">
      <formula>IF($D$29="No",TRUE)</formula>
    </cfRule>
  </conditionalFormatting>
  <conditionalFormatting sqref="G71:J71">
    <cfRule type="expression" dxfId="43" priority="14">
      <formula>IF(AND($D$71="Yes",$G$71=""),TRUE)</formula>
    </cfRule>
  </conditionalFormatting>
  <conditionalFormatting sqref="G81:J81">
    <cfRule type="expression" dxfId="42" priority="13">
      <formula>IF(AND($D$81="Yes, using other format (describe)",$G$81=""),TRUE)</formula>
    </cfRule>
  </conditionalFormatting>
  <conditionalFormatting sqref="D32:E32">
    <cfRule type="expression" dxfId="41" priority="7" stopIfTrue="1">
      <formula>IF(AND(OR($D$26="Yes",$D$26=""),$D$32=""),1,0)</formula>
    </cfRule>
    <cfRule type="expression" dxfId="40" priority="11" stopIfTrue="1">
      <formula>IF($P$26="",TRUE)</formula>
    </cfRule>
  </conditionalFormatting>
  <conditionalFormatting sqref="D33:E33">
    <cfRule type="expression" dxfId="39" priority="10" stopIfTrue="1">
      <formula>IF(AND(OR($D$27="Yes",$D$27=""),$D$33=""),1,0)</formula>
    </cfRule>
    <cfRule type="expression" dxfId="38" priority="12" stopIfTrue="1">
      <formula>IF($P$27="",TRUE)</formula>
    </cfRule>
  </conditionalFormatting>
  <conditionalFormatting sqref="D34">
    <cfRule type="expression" dxfId="37" priority="9">
      <formula>IF($D$28="No",TRUE)</formula>
    </cfRule>
  </conditionalFormatting>
  <conditionalFormatting sqref="D35">
    <cfRule type="expression" dxfId="36" priority="8">
      <formula>IF($D$29="No",TRUE)</formula>
    </cfRule>
  </conditionalFormatting>
  <conditionalFormatting sqref="D74:E74">
    <cfRule type="expression" dxfId="35" priority="3" stopIfTrue="1">
      <formula>IF(AND(OR($D$26="No",$D$26="Unknown",$D$26="Not applicable for this declaration",$D$32="No",$D$32="Unknown"),D74=""),1,0)</formula>
    </cfRule>
    <cfRule type="expression" dxfId="34" priority="4" stopIfTrue="1">
      <formula>IF(AND(OR($D$26="Yes",$D$26=""),D74=""),1,0)</formula>
    </cfRule>
  </conditionalFormatting>
  <conditionalFormatting sqref="D75:E75">
    <cfRule type="expression" dxfId="33" priority="5" stopIfTrue="1">
      <formula>IF(AND(OR($D$27="No",$D$27="Unknown",$D$27="Not applicable for this declaration",$D$33="No",$D$33="Unknown"),D75=""),1,0)</formula>
    </cfRule>
    <cfRule type="expression" dxfId="32" priority="6" stopIfTrue="1">
      <formula>IF(AND(OR($D$27="Yes",$D$27=""),D75=""),1,0)</formula>
    </cfRule>
  </conditionalFormatting>
  <conditionalFormatting sqref="D69:E69 D71:E71 D77:E77 D79:E79 D81:E81 D83:E83">
    <cfRule type="expression" dxfId="31" priority="1" stopIfTrue="1">
      <formula>NOT(OR(AND($D$26="Yes",OR($D$32="Yes",$D$32="")),AND($D$27="Yes",OR($D$33="Yes",$D$33="")),OR($D$26="",$D$27="")))</formula>
    </cfRule>
    <cfRule type="expression" dxfId="30"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A452753A-4706-4042-9B8F-25A36333C72E}"/>
    <hyperlink ref="D20" r:id="rId2" xr:uid="{1ECB5C14-FB72-45AC-9597-3A540907F5AC}"/>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4" t="s">
        <v>45</v>
      </c>
      <c r="K2" s="405"/>
      <c r="L2" s="405"/>
      <c r="M2" s="405"/>
      <c r="N2" s="405"/>
      <c r="O2" s="405"/>
      <c r="P2" s="174"/>
      <c r="Q2" s="175"/>
      <c r="R2" s="176"/>
      <c r="S2" s="176"/>
      <c r="T2" s="176"/>
      <c r="AH2" s="132" t="s">
        <v>28</v>
      </c>
    </row>
    <row r="3" spans="1:34" s="17" customFormat="1" ht="240.6" customHeight="1">
      <c r="A3" s="219"/>
      <c r="B3" s="40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6"/>
      <c r="D3" s="406"/>
      <c r="E3" s="406"/>
      <c r="F3" s="177"/>
      <c r="G3" s="407" t="str">
        <f ca="1">OFFSET(L!$C$1,MATCH("General"&amp;"Cpy",L!$A:$A,0)-1,SL,,)</f>
        <v>© 2021 Responsible Minerals Initiative. All rights reserved.</v>
      </c>
      <c r="H3" s="407"/>
      <c r="I3" s="408"/>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25">
      <c r="A5" s="215"/>
      <c r="B5" s="160" t="str">
        <f>IF(LEN(A5)=0,"",INDEX('Smelter Look-up'!$A:$A,MATCH($A5,'Smelter Look-up'!$E:$E,0)))</f>
        <v/>
      </c>
      <c r="C5" s="163" t="str">
        <f>IF(LEN(A5)=0,"",INDEX('Smelter Look-up'!$C:$C,MATCH($A5,'Smelter Look-up'!$E:$E,0)))</f>
        <v/>
      </c>
      <c r="D5" s="160"/>
      <c r="E5" s="160" t="str">
        <f ca="1">IF(ISERROR($V5),"",OFFSET('Smelter Look-up'!$D$4,$V5-4,0)&amp;"")</f>
        <v/>
      </c>
      <c r="F5" s="160" t="str">
        <f ca="1">IF(ISERROR($V5),"",OFFSET('Smelter Look-up'!$E$4,$V5-4,0))</f>
        <v/>
      </c>
      <c r="G5" s="160" t="str">
        <f ca="1">IF(C5=$X$4,"Enter smelter details",IF(ISERROR($V5),"",OFFSET('Smelter Look-up'!$F$4,$V5-4,0)))</f>
        <v/>
      </c>
      <c r="H5" s="225" t="str">
        <f ca="1">IF(ISERROR($V5),"",OFFSET('Smelter Look-up'!$G$4,$V5-4,0))</f>
        <v/>
      </c>
      <c r="I5" s="226" t="str">
        <f ca="1">IF(ISERROR($V5),"",OFFSET('Smelter Look-up'!$H$4,$V5-4,0))</f>
        <v/>
      </c>
      <c r="J5" s="226" t="str">
        <f ca="1">IF(ISERROR($V5),"",OFFSET('Smelter Look-up'!$I$4,$V5-4,0))</f>
        <v/>
      </c>
      <c r="K5" s="161"/>
      <c r="L5" s="161"/>
      <c r="M5" s="161"/>
      <c r="N5" s="161"/>
      <c r="O5" s="161"/>
      <c r="P5" s="228"/>
      <c r="Q5" s="162"/>
      <c r="R5" s="160" t="str">
        <f ca="1">IF(ISERROR($V5),"",OFFSET('Smelter Look-up'!$C$4,$V5-4,0)&amp;"")</f>
        <v/>
      </c>
      <c r="S5" s="166" t="str">
        <f t="shared" ref="S5:S63" ca="1" si="0">IF(B5="","",IF(ISERROR(MATCH($E5,CL,0)),"Unknown",INDIRECT("'C'!$A$"&amp;MATCH($E5,CL,0)+1)))</f>
        <v/>
      </c>
      <c r="T5" s="166" t="str">
        <f ca="1">IF(B5="","",IF(ISERROR(MATCH($J5,SorP!$B$1:$B$6205,0)),"",INDIRECT("'SorP'!$A$"&amp;MATCH($J5,SorP!$B$1:$B$6205,0))))</f>
        <v/>
      </c>
      <c r="U5" s="180"/>
      <c r="V5" s="181" t="e">
        <f>IF(C5="",NA(),MATCH($B5&amp;$C5,'Smelter Look-up'!$J:$J,0))</f>
        <v>#N/A</v>
      </c>
      <c r="X5" s="182">
        <f t="shared" ref="X5:X62" ca="1" si="1">IF(AND(C5="Smelter not listed",OR(LEN(D5)=0,LEN(E5)=0)),1,0)</f>
        <v>0</v>
      </c>
      <c r="AB5" s="182" t="str">
        <f t="shared" ref="AB5:AB62" si="2">B5&amp;C5</f>
        <v/>
      </c>
    </row>
    <row r="6" spans="1:34" s="182" customFormat="1" ht="20.25">
      <c r="A6" s="215"/>
      <c r="B6" s="160" t="str">
        <f>IF(LEN(A6)=0,"",INDEX('Smelter Look-up'!$A:$A,MATCH($A6,'Smelter Look-up'!$E:$E,0)))</f>
        <v/>
      </c>
      <c r="C6" s="163" t="str">
        <f>IF(LEN(A6)=0,"",INDEX('Smelter Look-up'!$C:$C,MATCH($A6,'Smelter Look-up'!$E:$E,0)))</f>
        <v/>
      </c>
      <c r="D6" s="160"/>
      <c r="E6" s="160" t="str">
        <f ca="1">IF(ISERROR($V6),"",OFFSET('Smelter Look-up'!$D$4,$V6-4,0)&amp;"")</f>
        <v/>
      </c>
      <c r="F6" s="160" t="str">
        <f ca="1">IF(ISERROR($V6),"",OFFSET('Smelter Look-up'!$E$4,$V6-4,0))</f>
        <v/>
      </c>
      <c r="G6" s="160" t="str">
        <f ca="1">IF(C6=$X$4,"Enter smelter details",IF(ISERROR($V6),"",OFFSET('Smelter Look-up'!$F$4,$V6-4,0)))</f>
        <v/>
      </c>
      <c r="H6" s="225" t="str">
        <f ca="1">IF(ISERROR($V6),"",OFFSET('Smelter Look-up'!$G$4,$V6-4,0))</f>
        <v/>
      </c>
      <c r="I6" s="226" t="str">
        <f ca="1">IF(ISERROR($V6),"",OFFSET('Smelter Look-up'!$H$4,$V6-4,0))</f>
        <v/>
      </c>
      <c r="J6" s="226" t="str">
        <f ca="1">IF(ISERROR($V6),"",OFFSET('Smelter Look-up'!$I$4,$V6-4,0))</f>
        <v/>
      </c>
      <c r="K6" s="161"/>
      <c r="L6" s="161"/>
      <c r="M6" s="161"/>
      <c r="N6" s="161"/>
      <c r="O6" s="161"/>
      <c r="P6" s="228"/>
      <c r="Q6" s="162"/>
      <c r="R6" s="160" t="str">
        <f ca="1">IF(ISERROR($V6),"",OFFSET('Smelter Look-up'!$C$4,$V6-4,0)&amp;"")</f>
        <v/>
      </c>
      <c r="S6" s="166" t="str">
        <f t="shared" ca="1" si="0"/>
        <v/>
      </c>
      <c r="T6" s="166" t="str">
        <f ca="1">IF(B6="","",IF(ISERROR(MATCH($J6,SorP!$B$1:$B$6205,0)),"",INDIRECT("'SorP'!$A$"&amp;MATCH($J6,SorP!$B$1:$B$6205,0))))</f>
        <v/>
      </c>
      <c r="U6" s="180"/>
      <c r="V6" s="181" t="e">
        <f>IF(C6="",NA(),MATCH($B6&amp;$C6,'Smelter Look-up'!$J:$J,0))</f>
        <v>#N/A</v>
      </c>
      <c r="X6" s="182">
        <f t="shared" ca="1" si="1"/>
        <v>0</v>
      </c>
      <c r="AB6" s="182" t="str">
        <f t="shared" si="2"/>
        <v/>
      </c>
    </row>
    <row r="7" spans="1:34" s="182" customFormat="1" ht="20.25">
      <c r="A7" s="215"/>
      <c r="B7" s="160" t="str">
        <f>IF(LEN(A7)=0,"",INDEX('Smelter Look-up'!$A:$A,MATCH($A7,'Smelter Look-up'!$E:$E,0)))</f>
        <v/>
      </c>
      <c r="C7" s="163" t="str">
        <f>IF(LEN(A7)=0,"",INDEX('Smelter Look-up'!$C:$C,MATCH($A7,'Smelter Look-up'!$E:$E,0)))</f>
        <v/>
      </c>
      <c r="D7" s="160"/>
      <c r="E7" s="160" t="str">
        <f ca="1">IF(ISERROR($V7),"",OFFSET('Smelter Look-up'!$D$4,$V7-4,0)&amp;"")</f>
        <v/>
      </c>
      <c r="F7" s="160" t="str">
        <f ca="1">IF(ISERROR($V7),"",OFFSET('Smelter Look-up'!$E$4,$V7-4,0))</f>
        <v/>
      </c>
      <c r="G7" s="160" t="str">
        <f ca="1">IF(C7=$X$4,"Enter smelter details",IF(ISERROR($V7),"",OFFSET('Smelter Look-up'!$F$4,$V7-4,0)))</f>
        <v/>
      </c>
      <c r="H7" s="225" t="str">
        <f ca="1">IF(ISERROR($V7),"",OFFSET('Smelter Look-up'!$G$4,$V7-4,0))</f>
        <v/>
      </c>
      <c r="I7" s="226" t="str">
        <f ca="1">IF(ISERROR($V7),"",OFFSET('Smelter Look-up'!$H$4,$V7-4,0))</f>
        <v/>
      </c>
      <c r="J7" s="226" t="str">
        <f ca="1">IF(ISERROR($V7),"",OFFSET('Smelter Look-up'!$I$4,$V7-4,0))</f>
        <v/>
      </c>
      <c r="K7" s="161"/>
      <c r="L7" s="161"/>
      <c r="M7" s="161"/>
      <c r="N7" s="161"/>
      <c r="O7" s="161"/>
      <c r="P7" s="228"/>
      <c r="Q7" s="162"/>
      <c r="R7" s="160" t="str">
        <f ca="1">IF(ISERROR($V7),"",OFFSET('Smelter Look-up'!$C$4,$V7-4,0)&amp;"")</f>
        <v/>
      </c>
      <c r="S7" s="166" t="str">
        <f t="shared" ca="1" si="0"/>
        <v/>
      </c>
      <c r="T7" s="166" t="str">
        <f ca="1">IF(B7="","",IF(ISERROR(MATCH($J7,SorP!$B$1:$B$6205,0)),"",INDIRECT("'SorP'!$A$"&amp;MATCH($J7,SorP!$B$1:$B$6205,0))))</f>
        <v/>
      </c>
      <c r="U7" s="180"/>
      <c r="V7" s="181" t="e">
        <f>IF(C7="",NA(),MATCH($B7&amp;$C7,'Smelter Look-up'!$J:$J,0))</f>
        <v>#N/A</v>
      </c>
      <c r="X7" s="182">
        <f t="shared" ca="1" si="1"/>
        <v>0</v>
      </c>
      <c r="AB7" s="182" t="str">
        <f t="shared" si="2"/>
        <v/>
      </c>
    </row>
    <row r="8" spans="1:34" s="182" customFormat="1" ht="20.25">
      <c r="A8" s="215"/>
      <c r="B8" s="160" t="str">
        <f>IF(LEN(A8)=0,"",INDEX('Smelter Look-up'!$A:$A,MATCH($A8,'Smelter Look-up'!$E:$E,0)))</f>
        <v/>
      </c>
      <c r="C8" s="163" t="str">
        <f>IF(LEN(A8)=0,"",INDEX('Smelter Look-up'!$C:$C,MATCH($A8,'Smelter Look-up'!$E:$E,0)))</f>
        <v/>
      </c>
      <c r="D8" s="160"/>
      <c r="E8" s="160" t="str">
        <f ca="1">IF(ISERROR($V8),"",OFFSET('Smelter Look-up'!$D$4,$V8-4,0)&amp;"")</f>
        <v/>
      </c>
      <c r="F8" s="160" t="str">
        <f ca="1">IF(ISERROR($V8),"",OFFSET('Smelter Look-up'!$E$4,$V8-4,0))</f>
        <v/>
      </c>
      <c r="G8" s="160" t="str">
        <f ca="1">IF(C8=$X$4,"Enter smelter details",IF(ISERROR($V8),"",OFFSET('Smelter Look-up'!$F$4,$V8-4,0)))</f>
        <v/>
      </c>
      <c r="H8" s="225" t="str">
        <f ca="1">IF(ISERROR($V8),"",OFFSET('Smelter Look-up'!$G$4,$V8-4,0))</f>
        <v/>
      </c>
      <c r="I8" s="226" t="str">
        <f ca="1">IF(ISERROR($V8),"",OFFSET('Smelter Look-up'!$H$4,$V8-4,0))</f>
        <v/>
      </c>
      <c r="J8" s="226" t="str">
        <f ca="1">IF(ISERROR($V8),"",OFFSET('Smelter Look-up'!$I$4,$V8-4,0))</f>
        <v/>
      </c>
      <c r="K8" s="161"/>
      <c r="L8" s="161"/>
      <c r="M8" s="161"/>
      <c r="N8" s="161"/>
      <c r="O8" s="161"/>
      <c r="P8" s="228"/>
      <c r="Q8" s="162"/>
      <c r="R8" s="160" t="str">
        <f ca="1">IF(ISERROR($V8),"",OFFSET('Smelter Look-up'!$C$4,$V8-4,0)&amp;"")</f>
        <v/>
      </c>
      <c r="S8" s="166" t="str">
        <f t="shared" ca="1" si="0"/>
        <v/>
      </c>
      <c r="T8" s="166" t="str">
        <f ca="1">IF(B8="","",IF(ISERROR(MATCH($J8,SorP!$B$1:$B$6205,0)),"",INDIRECT("'SorP'!$A$"&amp;MATCH($J8,SorP!$B$1:$B$6205,0))))</f>
        <v/>
      </c>
      <c r="U8" s="180"/>
      <c r="V8" s="181" t="e">
        <f>IF(C8="",NA(),MATCH($B8&amp;$C8,'Smelter Look-up'!$J:$J,0))</f>
        <v>#N/A</v>
      </c>
      <c r="X8" s="182">
        <f t="shared" ca="1" si="1"/>
        <v>0</v>
      </c>
      <c r="AB8" s="182" t="str">
        <f t="shared" si="2"/>
        <v/>
      </c>
    </row>
    <row r="9" spans="1:34" s="182" customFormat="1" ht="20.25">
      <c r="A9" s="215"/>
      <c r="B9" s="160" t="str">
        <f>IF(LEN(A9)=0,"",INDEX('Smelter Look-up'!$A:$A,MATCH($A9,'Smelter Look-up'!$E:$E,0)))</f>
        <v/>
      </c>
      <c r="C9" s="163"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225" t="str">
        <f ca="1">IF(ISERROR($V9),"",OFFSET('Smelter Look-up'!$G$4,$V9-4,0))</f>
        <v/>
      </c>
      <c r="I9" s="226" t="str">
        <f ca="1">IF(ISERROR($V9),"",OFFSET('Smelter Look-up'!$H$4,$V9-4,0))</f>
        <v/>
      </c>
      <c r="J9" s="226" t="str">
        <f ca="1">IF(ISERROR($V9),"",OFFSET('Smelter Look-up'!$I$4,$V9-4,0))</f>
        <v/>
      </c>
      <c r="K9" s="161"/>
      <c r="L9" s="161"/>
      <c r="M9" s="161"/>
      <c r="N9" s="161"/>
      <c r="O9" s="161"/>
      <c r="P9" s="228"/>
      <c r="Q9" s="162"/>
      <c r="R9" s="160" t="str">
        <f ca="1">IF(ISERROR($V9),"",OFFSET('Smelter Look-up'!$C$4,$V9-4,0)&amp;"")</f>
        <v/>
      </c>
      <c r="S9" s="166" t="str">
        <f t="shared" ca="1" si="0"/>
        <v/>
      </c>
      <c r="T9" s="166" t="str">
        <f ca="1">IF(B9="","",IF(ISERROR(MATCH($J9,SorP!$B$1:$B$6205,0)),"",INDIRECT("'SorP'!$A$"&amp;MATCH($J9,SorP!$B$1:$B$6205,0))))</f>
        <v/>
      </c>
      <c r="U9" s="180"/>
      <c r="V9" s="181" t="e">
        <f>IF(C9="",NA(),MATCH($B9&amp;$C9,'Smelter Look-up'!$J:$J,0))</f>
        <v>#N/A</v>
      </c>
      <c r="X9" s="182">
        <f t="shared" ca="1" si="1"/>
        <v>0</v>
      </c>
      <c r="AB9" s="182" t="str">
        <f t="shared" si="2"/>
        <v/>
      </c>
    </row>
    <row r="10" spans="1:34" s="182" customFormat="1" ht="20.25">
      <c r="A10" s="215"/>
      <c r="B10" s="160" t="str">
        <f>IF(LEN(A10)=0,"",INDEX('Smelter Look-up'!$A:$A,MATCH($A10,'Smelter Look-up'!$E:$E,0)))</f>
        <v/>
      </c>
      <c r="C10" s="163"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225" t="str">
        <f ca="1">IF(ISERROR($V10),"",OFFSET('Smelter Look-up'!$G$4,$V10-4,0))</f>
        <v/>
      </c>
      <c r="I10" s="226" t="str">
        <f ca="1">IF(ISERROR($V10),"",OFFSET('Smelter Look-up'!$H$4,$V10-4,0))</f>
        <v/>
      </c>
      <c r="J10" s="226" t="str">
        <f ca="1">IF(ISERROR($V10),"",OFFSET('Smelter Look-up'!$I$4,$V10-4,0))</f>
        <v/>
      </c>
      <c r="K10" s="161"/>
      <c r="L10" s="161"/>
      <c r="M10" s="161"/>
      <c r="N10" s="161"/>
      <c r="O10" s="161"/>
      <c r="P10" s="228"/>
      <c r="Q10" s="162"/>
      <c r="R10" s="160" t="str">
        <f ca="1">IF(ISERROR($V10),"",OFFSET('Smelter Look-up'!$C$4,$V10-4,0)&amp;"")</f>
        <v/>
      </c>
      <c r="S10" s="166" t="str">
        <f t="shared" ca="1" si="0"/>
        <v/>
      </c>
      <c r="T10" s="166" t="str">
        <f ca="1">IF(B10="","",IF(ISERROR(MATCH($J10,SorP!$B$1:$B$6205,0)),"",INDIRECT("'SorP'!$A$"&amp;MATCH($J10,SorP!$B$1:$B$6205,0))))</f>
        <v/>
      </c>
      <c r="U10" s="180"/>
      <c r="V10" s="181" t="e">
        <f>IF(C10="",NA(),MATCH($B10&amp;$C10,'Smelter Look-up'!$J:$J,0))</f>
        <v>#N/A</v>
      </c>
      <c r="X10" s="182">
        <f t="shared" ca="1" si="1"/>
        <v>0</v>
      </c>
      <c r="AB10" s="182" t="str">
        <f t="shared" si="2"/>
        <v/>
      </c>
    </row>
    <row r="11" spans="1:34" s="182" customFormat="1" ht="20.25">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0"/>
        <v/>
      </c>
      <c r="T11" s="166" t="str">
        <f ca="1">IF(B11="","",IF(ISERROR(MATCH($J11,SorP!$B$1:$B$6205,0)),"",INDIRECT("'SorP'!$A$"&amp;MATCH($J11,SorP!$B$1:$B$6205,0))))</f>
        <v/>
      </c>
      <c r="U11" s="180"/>
      <c r="V11" s="181" t="e">
        <f>IF(C11="",NA(),MATCH($B11&amp;$C11,'Smelter Look-up'!$J:$J,0))</f>
        <v>#N/A</v>
      </c>
      <c r="X11" s="182">
        <f t="shared" ca="1" si="1"/>
        <v>0</v>
      </c>
      <c r="AB11" s="182" t="str">
        <f t="shared" si="2"/>
        <v/>
      </c>
    </row>
    <row r="12" spans="1:34" s="182" customFormat="1" ht="20.25">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0"/>
        <v/>
      </c>
      <c r="T12" s="166" t="str">
        <f ca="1">IF(B12="","",IF(ISERROR(MATCH($J12,SorP!$B$1:$B$6205,0)),"",INDIRECT("'SorP'!$A$"&amp;MATCH($J12,SorP!$B$1:$B$6205,0))))</f>
        <v/>
      </c>
      <c r="U12" s="180"/>
      <c r="V12" s="181" t="e">
        <f>IF(C12="",NA(),MATCH($B12&amp;$C12,'Smelter Look-up'!$J:$J,0))</f>
        <v>#N/A</v>
      </c>
      <c r="X12" s="182">
        <f t="shared" ca="1" si="1"/>
        <v>0</v>
      </c>
      <c r="AB12" s="182" t="str">
        <f t="shared" si="2"/>
        <v/>
      </c>
    </row>
    <row r="13" spans="1:34" s="182" customFormat="1" ht="20.25">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0"/>
        <v/>
      </c>
      <c r="T13" s="166" t="str">
        <f ca="1">IF(B13="","",IF(ISERROR(MATCH($J13,SorP!$B$1:$B$6205,0)),"",INDIRECT("'SorP'!$A$"&amp;MATCH($J13,SorP!$B$1:$B$6205,0))))</f>
        <v/>
      </c>
      <c r="U13" s="180"/>
      <c r="V13" s="181" t="e">
        <f>IF(C13="",NA(),MATCH($B13&amp;$C13,'Smelter Look-up'!$J:$J,0))</f>
        <v>#N/A</v>
      </c>
      <c r="X13" s="182">
        <f t="shared" ca="1" si="1"/>
        <v>0</v>
      </c>
      <c r="AB13" s="182" t="str">
        <f t="shared" si="2"/>
        <v/>
      </c>
    </row>
    <row r="14" spans="1:34" s="182" customFormat="1" ht="20.25">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0"/>
        <v/>
      </c>
      <c r="T14" s="166" t="str">
        <f ca="1">IF(B14="","",IF(ISERROR(MATCH($J14,SorP!$B$1:$B$6205,0)),"",INDIRECT("'SorP'!$A$"&amp;MATCH($J14,SorP!$B$1:$B$6205,0))))</f>
        <v/>
      </c>
      <c r="U14" s="180"/>
      <c r="V14" s="181" t="e">
        <f>IF(C14="",NA(),MATCH($B14&amp;$C14,'Smelter Look-up'!$J:$J,0))</f>
        <v>#N/A</v>
      </c>
      <c r="X14" s="182">
        <f t="shared" ca="1" si="1"/>
        <v>0</v>
      </c>
      <c r="AB14" s="182" t="str">
        <f t="shared" si="2"/>
        <v/>
      </c>
    </row>
    <row r="15" spans="1:34" s="182" customFormat="1" ht="20.25">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0"/>
        <v/>
      </c>
      <c r="T15" s="166" t="str">
        <f ca="1">IF(B15="","",IF(ISERROR(MATCH($J15,SorP!$B$1:$B$6205,0)),"",INDIRECT("'SorP'!$A$"&amp;MATCH($J15,SorP!$B$1:$B$6205,0))))</f>
        <v/>
      </c>
      <c r="U15" s="180"/>
      <c r="V15" s="181" t="e">
        <f>IF(C15="",NA(),MATCH($B15&amp;$C15,'Smelter Look-up'!$J:$J,0))</f>
        <v>#N/A</v>
      </c>
      <c r="X15" s="182">
        <f t="shared" ca="1" si="1"/>
        <v>0</v>
      </c>
      <c r="AB15" s="182" t="str">
        <f t="shared" si="2"/>
        <v/>
      </c>
    </row>
    <row r="16" spans="1:34" s="182" customFormat="1" ht="20.25">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0"/>
        <v/>
      </c>
      <c r="T16" s="166" t="str">
        <f ca="1">IF(B16="","",IF(ISERROR(MATCH($J16,SorP!$B$1:$B$6205,0)),"",INDIRECT("'SorP'!$A$"&amp;MATCH($J16,SorP!$B$1:$B$6205,0))))</f>
        <v/>
      </c>
      <c r="U16" s="180"/>
      <c r="V16" s="181" t="e">
        <f>IF(C16="",NA(),MATCH($B16&amp;$C16,'Smelter Look-up'!$J:$J,0))</f>
        <v>#N/A</v>
      </c>
      <c r="X16" s="182">
        <f t="shared" ca="1" si="1"/>
        <v>0</v>
      </c>
      <c r="AB16" s="182" t="str">
        <f t="shared" si="2"/>
        <v/>
      </c>
    </row>
    <row r="17" spans="1:28" s="182" customFormat="1" ht="20.25">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ca="1" si="1"/>
        <v>0</v>
      </c>
      <c r="AB17" s="182" t="str">
        <f t="shared" si="2"/>
        <v/>
      </c>
    </row>
    <row r="18" spans="1:28" s="182" customFormat="1" ht="20.25">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20.25">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20.25">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20.25">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20.25">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20.25">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20.25">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20.25">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20.25">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20.25">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20.25">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20.25">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20.25">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0.25">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0.25">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0.25">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0.25">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0.25">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0.25">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0.25">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0.25">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0.25">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0.25">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25">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25">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25">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25">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25">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25">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25">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25">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25">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25">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25">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25">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25">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25">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25">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25">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25">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25">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25">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25">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25">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0.25">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0.25">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0.25">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25">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25">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25">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25">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25">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25">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25">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25">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25">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25">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5"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B5:B2499">
    <cfRule type="expression" dxfId="29" priority="29" stopIfTrue="1">
      <formula>IF(B5="",TRUE)</formula>
    </cfRule>
  </conditionalFormatting>
  <conditionalFormatting sqref="D5:D2499">
    <cfRule type="expression" dxfId="28" priority="23" stopIfTrue="1">
      <formula>IF(AND(LEN($C5) &gt;0, ($C5 &lt;&gt; "Smelter Not Listed")),1,0)</formula>
    </cfRule>
    <cfRule type="expression" dxfId="27" priority="48" stopIfTrue="1">
      <formula>IF(AND(D5="",$C5=$X$4),TRUE)</formula>
    </cfRule>
    <cfRule type="expression" dxfId="26" priority="49" stopIfTrue="1">
      <formula>IF(FIND("!",D5),TRUE)</formula>
    </cfRule>
  </conditionalFormatting>
  <conditionalFormatting sqref="G5:G2497">
    <cfRule type="expression" dxfId="25" priority="50" stopIfTrue="1">
      <formula>IF(FIND("Enter smelter details",G5),TRUE)</formula>
    </cfRule>
  </conditionalFormatting>
  <conditionalFormatting sqref="R5:R2499 E5:E2499">
    <cfRule type="expression" dxfId="24" priority="36" stopIfTrue="1">
      <formula>IF(AND(E5="",$C5=$X$4),TRUE)</formula>
    </cfRule>
    <cfRule type="expression" dxfId="23" priority="37" stopIfTrue="1">
      <formula>IF(FIND("!",E5),TRUE)</formula>
    </cfRule>
  </conditionalFormatting>
  <conditionalFormatting sqref="F5:F2497">
    <cfRule type="expression" dxfId="22" priority="27" stopIfTrue="1">
      <formula>IF(AND(LEN($A5)&gt;0,$A5&lt;&gt;$F5),TRUE,FALSE)</formula>
    </cfRule>
  </conditionalFormatting>
  <conditionalFormatting sqref="C5:C2499">
    <cfRule type="expression" dxfId="21" priority="26" stopIfTrue="1">
      <formula>IF(AND(#REF!&lt;&gt;"",C5=""),TRUE)</formula>
    </cfRule>
  </conditionalFormatting>
  <conditionalFormatting sqref="A52">
    <cfRule type="expression" priority="19">
      <formula>$A$5:$Q1995&lt;&gt;""</formula>
    </cfRule>
  </conditionalFormatting>
  <conditionalFormatting sqref="G2498:G2499">
    <cfRule type="expression" dxfId="20" priority="18" stopIfTrue="1">
      <formula>IF(FIND("Enter smelter details",G2498),TRUE)</formula>
    </cfRule>
  </conditionalFormatting>
  <conditionalFormatting sqref="F2498:F2499">
    <cfRule type="expression" dxfId="19" priority="12" stopIfTrue="1">
      <formula>IF(AND(LEN($A2498)&gt;0,$A2498&lt;&gt;$F2498),TRUE,FALSE)</formula>
    </cfRule>
  </conditionalFormatting>
  <conditionalFormatting sqref="B2500">
    <cfRule type="expression" dxfId="18" priority="5" stopIfTrue="1">
      <formula>IF(B2500="",TRUE)</formula>
    </cfRule>
  </conditionalFormatting>
  <conditionalFormatting sqref="D2500">
    <cfRule type="expression" dxfId="17" priority="3" stopIfTrue="1">
      <formula>IF(AND(LEN($C2500) &gt;0, ($C2500 &lt;&gt; "Smelter Not Listed")),1,0)</formula>
    </cfRule>
    <cfRule type="expression" dxfId="16" priority="8" stopIfTrue="1">
      <formula>IF(AND(D2500="",$C2500=$X$4),TRUE)</formula>
    </cfRule>
    <cfRule type="expression" dxfId="15" priority="9" stopIfTrue="1">
      <formula>IF(FIND("!",D2500),TRUE)</formula>
    </cfRule>
  </conditionalFormatting>
  <conditionalFormatting sqref="R2500 E2500">
    <cfRule type="expression" dxfId="14" priority="6" stopIfTrue="1">
      <formula>IF(AND(E2500="",$C2500=$X$4),TRUE)</formula>
    </cfRule>
    <cfRule type="expression" dxfId="13" priority="7" stopIfTrue="1">
      <formula>IF(FIND("!",E2500),TRUE)</formula>
    </cfRule>
  </conditionalFormatting>
  <conditionalFormatting sqref="C2500">
    <cfRule type="expression" dxfId="12" priority="4" stopIfTrue="1">
      <formula>IF(AND(#REF!&lt;&gt;"",C2500=""),TRUE)</formula>
    </cfRule>
  </conditionalFormatting>
  <conditionalFormatting sqref="G2500">
    <cfRule type="expression" dxfId="11" priority="2" stopIfTrue="1">
      <formula>IF(FIND("Enter smelter details",G2500),TRUE)</formula>
    </cfRule>
  </conditionalFormatting>
  <conditionalFormatting sqref="F2500">
    <cfRule type="expression" dxfId="10"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09" t="str">
        <f ca="1">OFFSET(L!$C$1,MATCH("Checker"&amp;ADDRESS(ROW(),COLUMN(),4),L!$A:$A,0)-1,SL,,)</f>
        <v>To ensure all required fields have been populated before submitting to your customers review form for any line items highlighted in red</v>
      </c>
      <c r="B1" s="409"/>
      <c r="C1" s="409"/>
      <c r="D1" s="109" t="str">
        <f ca="1">OFFSET(L!$C$1,MATCH("Checker"&amp;ADDRESS(ROW(),COLUMN(),4),L!$A:$A,0)-1,SL,,)</f>
        <v>Required fields remaining to be completed</v>
      </c>
      <c r="E1" s="17" t="s">
        <v>21</v>
      </c>
    </row>
    <row r="2" spans="1:10" ht="15">
      <c r="A2" s="59" t="s">
        <v>53</v>
      </c>
      <c r="B2" s="60" t="str">
        <f>IF(F61=1,"Click here to return to Smelter List","")</f>
        <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WätaS Wärmetauscher Sachsen GmbH</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17</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Mr. Enrico Böhme</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info@wastas.de</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0049037360 69 49 0</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Mrs. Yvonne Glöß</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gloess@waetas.de</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0049 37360 69 49 39</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44952</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f>Declaration!D32</f>
        <v>0</v>
      </c>
      <c r="C20" s="138" t="str">
        <f t="shared" ref="C20:C21" ca="1" si="5">IF(H20=1,J20,I20)</f>
        <v>Complete</v>
      </c>
      <c r="D20" s="86" t="str">
        <f>IF(H20=1,"Click here to answer question 2 for Cobalt","")</f>
        <v/>
      </c>
      <c r="E20" s="17" t="s">
        <v>17</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f>Declaration!D38</f>
        <v>0</v>
      </c>
      <c r="C23" s="138" t="str">
        <f t="shared" ca="1" si="3"/>
        <v>Complete</v>
      </c>
      <c r="D23" s="210" t="str">
        <f>IF(H23=1,"Click here to answer question 3 for Cobalt","")</f>
        <v/>
      </c>
      <c r="E23" s="17" t="s">
        <v>17</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17</v>
      </c>
      <c r="F27" s="84"/>
      <c r="J27" s="134"/>
    </row>
    <row r="28" spans="1:10" ht="59.45" customHeight="1">
      <c r="A28" s="81" t="str">
        <f ca="1">Declaration!B44</f>
        <v>Cobalt</v>
      </c>
      <c r="B28" s="80">
        <f>Declaration!D44</f>
        <v>0</v>
      </c>
      <c r="C28" s="138" t="str">
        <f ca="1">IF(H28=1,J28,I28)</f>
        <v>Complete</v>
      </c>
      <c r="D28" s="210" t="str">
        <f>IF(H28=1,"Click here to answer question 4 for Cobalt","")</f>
        <v/>
      </c>
      <c r="E28" s="17" t="s">
        <v>17</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f>Declaration!D50</f>
        <v>0</v>
      </c>
      <c r="C33" s="138" t="str">
        <f t="shared" ca="1" si="3"/>
        <v>Complete</v>
      </c>
      <c r="D33" s="254" t="str">
        <f>IF(H33=1,"Click here to answer question 5 for Cobalt","")</f>
        <v/>
      </c>
      <c r="E33" s="17" t="s">
        <v>21</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f>Declaration!D56</f>
        <v>0</v>
      </c>
      <c r="C38" s="138" t="str">
        <f t="shared" ca="1" si="3"/>
        <v>Complete</v>
      </c>
      <c r="D38" s="254" t="str">
        <f>IF(H38=1,"Click here to answer question 6 for Cobalt","")</f>
        <v/>
      </c>
      <c r="E38" s="17" t="s">
        <v>15</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f>Declaration!D62</f>
        <v>0</v>
      </c>
      <c r="C43" s="138" t="str">
        <f t="shared" ca="1" si="3"/>
        <v>Complete</v>
      </c>
      <c r="D43" s="88" t="str">
        <f>IF(H43=1,"Click here to answer question 7 for Cobalt","")</f>
        <v/>
      </c>
      <c r="E43" s="17" t="s">
        <v>17</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No</v>
      </c>
      <c r="C48" s="138" t="str">
        <f t="shared" ca="1" si="3"/>
        <v>Complete</v>
      </c>
      <c r="D48" s="252" t="str">
        <f>IF(H48=1,"Click here to answer question (A)","")</f>
        <v/>
      </c>
      <c r="E48" s="17" t="s">
        <v>17</v>
      </c>
      <c r="F48" s="85">
        <f>IF(SUM(F$23:F$24)=0,0,1)</f>
        <v>0</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39">
      <c r="A50" s="80" t="str">
        <f ca="1">Declaration!B71</f>
        <v xml:space="preserve">B. Is your responsible minerals sourcing policy publicly available on your website? (Note – If yes, the user shall specify the URL in the comment field.) </v>
      </c>
      <c r="B50" s="80" t="str">
        <f>Declaration!D71</f>
        <v>No</v>
      </c>
      <c r="C50" s="138" t="str">
        <f ca="1">IF(H50=1,J50,I50)</f>
        <v>Complete</v>
      </c>
      <c r="D50" s="210" t="str">
        <f>IF(H50=1,"Click here to answer question (B)","")</f>
        <v/>
      </c>
      <c r="E50" s="17" t="s">
        <v>17</v>
      </c>
      <c r="F50" s="85">
        <f t="shared" ref="F50:F59" si="10">F$48</f>
        <v>0</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60</v>
      </c>
      <c r="B51" s="80">
        <f>Declaration!G71</f>
        <v>0</v>
      </c>
      <c r="C51" s="80" t="str">
        <f ca="1">IF(H51=1,J51,I51)</f>
        <v>Complete</v>
      </c>
      <c r="D51" s="221" t="str">
        <f>IF(H51=1,"Click here to answer question (C)","")</f>
        <v/>
      </c>
      <c r="E51" s="17" t="s">
        <v>17</v>
      </c>
      <c r="F51" s="85">
        <f>IF(AND(F50=1,B50="Yes"),1,0)</f>
        <v>0</v>
      </c>
      <c r="G51" s="63">
        <f>IF(LEN(B51)&gt;1,0,1)</f>
        <v>1</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5">
      <c r="A53" s="80" t="str">
        <f ca="1">Declaration!B74</f>
        <v>Cobalt</v>
      </c>
      <c r="B53" s="80" t="str">
        <f>Declaration!D74</f>
        <v>No</v>
      </c>
      <c r="C53" s="138" t="str">
        <f t="shared" ca="1" si="3"/>
        <v>Complete</v>
      </c>
      <c r="D53" s="210" t="str">
        <f>IF(H53=1,"Click here to answer question (C)","")</f>
        <v/>
      </c>
      <c r="E53" s="17"/>
      <c r="F53" s="85">
        <f>F23*F$48</f>
        <v>0</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t="str">
        <f>Declaration!D75</f>
        <v>No</v>
      </c>
      <c r="C54" s="138" t="str">
        <f t="shared" ca="1" si="3"/>
        <v>Complete</v>
      </c>
      <c r="D54" s="210" t="str">
        <f>IF(H54=1,"Click here to answer question (C)","")</f>
        <v/>
      </c>
      <c r="E54" s="17"/>
      <c r="F54" s="85">
        <f>F24*F$48</f>
        <v>0</v>
      </c>
      <c r="G54" s="63">
        <f t="shared" si="8"/>
        <v>0</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No</v>
      </c>
      <c r="C55" s="138" t="str">
        <f ca="1">IF(H55=1,J55,I55)</f>
        <v>Complete</v>
      </c>
      <c r="D55" s="210" t="str">
        <f>IF(H55=1,"Click here to answer question (D)","")</f>
        <v/>
      </c>
      <c r="E55" s="17" t="s">
        <v>17</v>
      </c>
      <c r="F55" s="85">
        <f t="shared" si="10"/>
        <v>0</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 xml:space="preserve">CMRT, SCIP, </v>
      </c>
      <c r="C56" s="138" t="str">
        <f t="shared" ca="1" si="3"/>
        <v>Complete</v>
      </c>
      <c r="D56" s="210" t="str">
        <f>IF(H56=1,"Click here to answer question (E)","")</f>
        <v/>
      </c>
      <c r="E56" s="17" t="s">
        <v>17</v>
      </c>
      <c r="F56" s="85">
        <f t="shared" si="10"/>
        <v>0</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t="str">
        <f>Declaration!D81</f>
        <v>No</v>
      </c>
      <c r="C58" s="138" t="str">
        <f ca="1">IF(H58=1,J58,I58)</f>
        <v>Complete</v>
      </c>
      <c r="D58" s="210" t="str">
        <f>IF(H58=1,"Click here to answer question (F)","")</f>
        <v/>
      </c>
      <c r="E58" s="17" t="s">
        <v>17</v>
      </c>
      <c r="F58" s="85">
        <f t="shared" si="10"/>
        <v>0</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 xml:space="preserve">G. Does your review process include corrective action management? </v>
      </c>
      <c r="B59" s="80" t="str">
        <f>Declaration!D83</f>
        <v>No</v>
      </c>
      <c r="C59" s="138" t="str">
        <f t="shared" ca="1" si="3"/>
        <v>Complete</v>
      </c>
      <c r="D59" s="210" t="str">
        <f>IF(H59=1,"Click here to answer question (G)","")</f>
        <v/>
      </c>
      <c r="E59" s="17" t="s">
        <v>17</v>
      </c>
      <c r="F59" s="85">
        <f t="shared" si="10"/>
        <v>0</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IF(H61=0,"","Click here to provide smelter information")</f>
        <v/>
      </c>
      <c r="E61" s="17" t="s">
        <v>17</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IF(H62=0,"","Click here to provide smelter information")</f>
        <v/>
      </c>
      <c r="E62" s="17" t="s">
        <v>17</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0</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0</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SUM(H4:H62)</f>
        <v>0</v>
      </c>
    </row>
    <row r="69" spans="1:12" ht="13.5" thickBot="1"/>
  </sheetData>
  <sheetProtection algorithmName="SHA-512" hashValue="L12mIusK0ekGwRO8QhX3Oc0N4VMP+CaTqG2XEWECtJsW5ZkgO1yZvLMifjz1zGQRx6eztQkDtq/CKn2z0FeTow==" saltValue="Ught8icPmCwjsWQFTCzNr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1" display="Declaration!B81" xr:uid="{00000000-0004-0000-0500-00000E000000}"/>
    <hyperlink ref="D56" location="Declaration!B77" display="Declaration!B77" xr:uid="{00000000-0004-0000-0500-00000F000000}"/>
    <hyperlink ref="D55" location="Declaration!B75" display="Declaration!B75"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56" display="Declaration!B56"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1" t="str">
        <f ca="1">OFFSET(L!$C$1,MATCH("Product List"&amp;ADDRESS(ROW(),COLUMN(),4),L!$A:$A,0)-1,SL,,)</f>
        <v>Completion required only if reporting level "Product (or List of Products)" selected on the 'Declaration' worksheet.</v>
      </c>
      <c r="B1" s="412"/>
      <c r="C1" s="412"/>
      <c r="D1" s="412"/>
      <c r="E1" s="108"/>
    </row>
    <row r="2" spans="1:35">
      <c r="A2" s="20"/>
      <c r="B2" s="110"/>
      <c r="C2" s="110"/>
      <c r="D2"/>
      <c r="E2" s="21"/>
    </row>
    <row r="3" spans="1:35">
      <c r="A3" s="20"/>
      <c r="B3" s="110"/>
      <c r="C3" s="110"/>
      <c r="D3" s="110"/>
      <c r="E3" s="21"/>
    </row>
    <row r="4" spans="1:35" ht="15.75" customHeight="1">
      <c r="A4" s="20"/>
      <c r="B4" s="410" t="s">
        <v>53</v>
      </c>
      <c r="C4" s="410"/>
      <c r="D4" s="410"/>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3" t="str">
        <f ca="1">OFFSET(L!$C$1,MATCH("General"&amp;"Cpy",L!$A:$A,0)-1,SL,,)</f>
        <v>© 2021 Responsible Minerals Initiative. All rights reserved.</v>
      </c>
      <c r="C1001" s="413"/>
      <c r="D1001" s="413"/>
      <c r="E1001" s="22"/>
    </row>
    <row r="1002" spans="1:35" ht="13.5"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80" customHeight="1">
      <c r="A1" s="41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4"/>
      <c r="C1" s="414"/>
      <c r="D1" s="414"/>
      <c r="E1" s="414"/>
      <c r="F1" s="414"/>
      <c r="G1" s="414"/>
    </row>
    <row r="2" spans="1:13">
      <c r="A2" s="415"/>
      <c r="B2" s="415"/>
      <c r="C2" s="415"/>
      <c r="D2" s="415"/>
      <c r="E2" s="415"/>
      <c r="F2" s="415"/>
      <c r="G2" s="415"/>
      <c r="H2" s="415"/>
      <c r="I2" s="415"/>
    </row>
    <row r="3" spans="1:13">
      <c r="A3" s="415"/>
      <c r="B3" s="415"/>
      <c r="C3" s="415"/>
      <c r="D3" s="415"/>
      <c r="E3" s="415"/>
      <c r="F3" s="415"/>
      <c r="G3" s="415"/>
      <c r="H3" s="415"/>
      <c r="I3" s="415"/>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baseColWidth="10"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42.2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114">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42">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20">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99.2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114">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28.2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57">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c r="A77" s="128" t="str">
        <f t="shared" si="4"/>
        <v>DefinitionsB11</v>
      </c>
      <c r="B77" s="128" t="s">
        <v>1117</v>
      </c>
      <c r="C77" s="128" t="s">
        <v>1210</v>
      </c>
      <c r="D77" s="273" t="s">
        <v>1211</v>
      </c>
      <c r="E77" s="273" t="s">
        <v>1212</v>
      </c>
      <c r="F77" s="282" t="s">
        <v>1213</v>
      </c>
      <c r="G77" s="283" t="s">
        <v>1214</v>
      </c>
      <c r="H77" s="319" t="s">
        <v>1215</v>
      </c>
      <c r="K77" s="129"/>
      <c r="M77" s="128"/>
    </row>
    <row r="78" spans="1:13">
      <c r="A78" s="128" t="str">
        <f t="shared" si="4"/>
        <v>DefinitionsB12</v>
      </c>
      <c r="B78" s="128" t="s">
        <v>1117</v>
      </c>
      <c r="C78" s="128" t="s">
        <v>1216</v>
      </c>
      <c r="D78" s="273" t="s">
        <v>1217</v>
      </c>
      <c r="E78" s="273" t="s">
        <v>1218</v>
      </c>
      <c r="F78" s="282" t="s">
        <v>1219</v>
      </c>
      <c r="G78" s="284" t="s">
        <v>1220</v>
      </c>
      <c r="H78" s="319" t="s">
        <v>1221</v>
      </c>
      <c r="K78" s="129"/>
      <c r="M78" s="128"/>
    </row>
    <row r="79" spans="1:13">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28.2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28">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13.75">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28">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4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399">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28.25">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14">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14">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14">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28.2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5.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5.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7">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28.5">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28.5">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28.5">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28.5">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28.5">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28.5">
      <c r="A155" s="128" t="str">
        <f t="shared" si="6"/>
        <v>DeclarationB28</v>
      </c>
      <c r="B155" s="128" t="s">
        <v>1507</v>
      </c>
      <c r="C155" s="128" t="s">
        <v>1978</v>
      </c>
      <c r="G155"/>
      <c r="H155" s="319"/>
      <c r="I155" s="128" t="s">
        <v>1979</v>
      </c>
      <c r="J155" s="128" t="s">
        <v>1980</v>
      </c>
      <c r="K155" s="129" t="s">
        <v>1981</v>
      </c>
      <c r="L155" s="145" t="s">
        <v>1981</v>
      </c>
      <c r="M155" s="128" t="s">
        <v>1982</v>
      </c>
    </row>
    <row r="156" spans="1:13" ht="28.5">
      <c r="A156" s="128" t="str">
        <f t="shared" si="6"/>
        <v>DeclarationB29</v>
      </c>
      <c r="B156" s="128" t="s">
        <v>1507</v>
      </c>
      <c r="C156" s="128" t="s">
        <v>1983</v>
      </c>
      <c r="G156"/>
      <c r="H156" s="319"/>
      <c r="I156" s="128" t="s">
        <v>1984</v>
      </c>
      <c r="J156" s="128" t="s">
        <v>1985</v>
      </c>
      <c r="K156" s="129" t="s">
        <v>1986</v>
      </c>
      <c r="L156" s="145" t="s">
        <v>1986</v>
      </c>
      <c r="M156" s="128" t="s">
        <v>1987</v>
      </c>
    </row>
    <row r="157" spans="1:13" ht="28.5">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28.5">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28.5">
      <c r="A159" s="128" t="str">
        <f t="shared" si="6"/>
        <v>DeclarationB34</v>
      </c>
      <c r="B159" s="128" t="s">
        <v>1507</v>
      </c>
      <c r="C159" s="128" t="s">
        <v>1990</v>
      </c>
      <c r="G159"/>
      <c r="H159" s="319"/>
      <c r="I159" s="128" t="s">
        <v>1979</v>
      </c>
      <c r="J159" s="128" t="s">
        <v>1980</v>
      </c>
      <c r="K159" s="129" t="s">
        <v>1981</v>
      </c>
      <c r="L159" s="145" t="s">
        <v>1981</v>
      </c>
      <c r="M159" s="128" t="s">
        <v>1982</v>
      </c>
    </row>
    <row r="160" spans="1:13" ht="28.5">
      <c r="A160" s="128" t="str">
        <f t="shared" si="6"/>
        <v>DeclarationB35</v>
      </c>
      <c r="B160" s="128" t="s">
        <v>1507</v>
      </c>
      <c r="C160" s="128" t="s">
        <v>1991</v>
      </c>
      <c r="G160"/>
      <c r="H160" s="319"/>
      <c r="I160" s="128" t="s">
        <v>1984</v>
      </c>
      <c r="J160" s="128" t="s">
        <v>1985</v>
      </c>
      <c r="K160" s="129" t="s">
        <v>1986</v>
      </c>
      <c r="L160" s="145" t="s">
        <v>1986</v>
      </c>
      <c r="M160" s="128" t="s">
        <v>1987</v>
      </c>
    </row>
    <row r="161" spans="1:13" ht="28.5">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28.5">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28.5">
      <c r="A163" s="128" t="str">
        <f t="shared" si="7"/>
        <v>DeclarationB40</v>
      </c>
      <c r="B163" s="128" t="s">
        <v>1507</v>
      </c>
      <c r="C163" s="128" t="s">
        <v>1994</v>
      </c>
      <c r="G163"/>
      <c r="H163" s="319"/>
      <c r="I163" s="128" t="s">
        <v>1979</v>
      </c>
      <c r="J163" s="128" t="s">
        <v>1980</v>
      </c>
      <c r="K163" s="129" t="s">
        <v>1981</v>
      </c>
      <c r="L163" s="145" t="s">
        <v>1981</v>
      </c>
      <c r="M163" s="128" t="s">
        <v>1982</v>
      </c>
    </row>
    <row r="164" spans="1:13" ht="28.5">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28.5">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28.5">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28.5">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28.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28.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28.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28.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28.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28.5">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0">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0">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28.5">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8.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8.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8.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8.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8.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8.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8.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8.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8.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8.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8.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7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1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7">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7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8.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28.5">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28.5">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57">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7">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2.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28.5">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8.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8.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8.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8.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8.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8.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1.2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8.5">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2.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2.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2.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2.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2.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2.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7">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7">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7">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2.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7">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7">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57">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7">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99.7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5.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5.5">
      <c r="A239" s="128" t="str">
        <f t="shared" si="9"/>
        <v>CheckerJ22</v>
      </c>
      <c r="B239" s="128" t="s">
        <v>2380</v>
      </c>
      <c r="C239" s="128" t="s">
        <v>2632</v>
      </c>
      <c r="G239"/>
      <c r="H239" s="319"/>
      <c r="I239" s="128" t="s">
        <v>2633</v>
      </c>
      <c r="J239" s="128" t="s">
        <v>2634</v>
      </c>
      <c r="K239" s="128" t="s">
        <v>2635</v>
      </c>
      <c r="L239" s="128" t="s">
        <v>2636</v>
      </c>
      <c r="M239" s="128" t="s">
        <v>2637</v>
      </c>
    </row>
    <row r="240" spans="1:13" ht="85.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7">
      <c r="A241" s="128" t="str">
        <f t="shared" si="9"/>
        <v>CheckerJ24</v>
      </c>
      <c r="B241" s="128" t="s">
        <v>2380</v>
      </c>
      <c r="C241" s="128" t="s">
        <v>2649</v>
      </c>
      <c r="D241" s="273" t="s">
        <v>2650</v>
      </c>
      <c r="E241" s="274" t="s">
        <v>2651</v>
      </c>
      <c r="F241" s="281" t="s">
        <v>2652</v>
      </c>
      <c r="G241" s="279" t="s">
        <v>2653</v>
      </c>
      <c r="H241" s="319" t="s">
        <v>2654</v>
      </c>
      <c r="L241" s="128"/>
      <c r="M241" s="128"/>
    </row>
    <row r="242" spans="1:13" ht="85.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5.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5.5">
      <c r="A244" s="128" t="str">
        <f t="shared" si="9"/>
        <v>CheckerJ27</v>
      </c>
      <c r="B244" s="128" t="s">
        <v>2380</v>
      </c>
      <c r="C244" s="128" t="s">
        <v>2677</v>
      </c>
      <c r="G244"/>
      <c r="H244" s="319"/>
      <c r="I244" s="128" t="s">
        <v>2678</v>
      </c>
      <c r="J244" s="128" t="s">
        <v>2679</v>
      </c>
      <c r="K244" s="128" t="s">
        <v>2680</v>
      </c>
      <c r="L244" s="128" t="s">
        <v>2681</v>
      </c>
      <c r="M244" s="128" t="s">
        <v>2682</v>
      </c>
    </row>
    <row r="245" spans="1:13" ht="85.5">
      <c r="A245" s="128" t="str">
        <f t="shared" si="9"/>
        <v>CheckerJ28</v>
      </c>
      <c r="B245" s="128" t="s">
        <v>2380</v>
      </c>
      <c r="C245" s="128" t="s">
        <v>2655</v>
      </c>
      <c r="G245"/>
      <c r="H245" s="319"/>
      <c r="I245" s="128" t="s">
        <v>2683</v>
      </c>
      <c r="J245" s="128" t="s">
        <v>2684</v>
      </c>
      <c r="K245" s="128" t="s">
        <v>2685</v>
      </c>
      <c r="L245" s="128" t="s">
        <v>2686</v>
      </c>
      <c r="M245" s="128" t="s">
        <v>2687</v>
      </c>
    </row>
    <row r="246" spans="1:13" ht="57">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7">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7">
      <c r="A248" s="128" t="str">
        <f t="shared" si="9"/>
        <v>CheckerJ32</v>
      </c>
      <c r="B248" s="128" t="s">
        <v>2380</v>
      </c>
      <c r="C248" s="128" t="s">
        <v>2710</v>
      </c>
      <c r="G248"/>
      <c r="H248" s="319"/>
      <c r="I248" s="128" t="s">
        <v>2711</v>
      </c>
      <c r="J248" s="128" t="s">
        <v>2712</v>
      </c>
      <c r="K248" s="128" t="s">
        <v>2713</v>
      </c>
      <c r="L248" s="128" t="s">
        <v>2714</v>
      </c>
      <c r="M248" s="128" t="s">
        <v>2715</v>
      </c>
    </row>
    <row r="249" spans="1:13" ht="57">
      <c r="A249" s="128" t="str">
        <f t="shared" si="9"/>
        <v>CheckerJ33</v>
      </c>
      <c r="B249" s="128" t="s">
        <v>2380</v>
      </c>
      <c r="C249" s="128" t="s">
        <v>2688</v>
      </c>
      <c r="G249"/>
      <c r="H249" s="319"/>
      <c r="I249" s="128" t="s">
        <v>2716</v>
      </c>
      <c r="J249" s="128" t="s">
        <v>2717</v>
      </c>
      <c r="K249" s="128" t="s">
        <v>2718</v>
      </c>
      <c r="L249" s="128" t="s">
        <v>2719</v>
      </c>
      <c r="M249" s="128" t="s">
        <v>2720</v>
      </c>
    </row>
    <row r="250" spans="1:13" ht="85.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85.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85.5">
      <c r="A252" s="128" t="str">
        <f t="shared" si="9"/>
        <v>CheckerJ37</v>
      </c>
      <c r="B252" s="128" t="s">
        <v>2380</v>
      </c>
      <c r="C252" s="128" t="s">
        <v>2743</v>
      </c>
      <c r="G252"/>
      <c r="H252" s="319"/>
      <c r="I252" s="128" t="s">
        <v>2744</v>
      </c>
      <c r="J252" s="128" t="s">
        <v>2745</v>
      </c>
      <c r="K252" s="128" t="s">
        <v>2746</v>
      </c>
      <c r="L252" s="128" t="s">
        <v>2747</v>
      </c>
      <c r="M252" s="128" t="s">
        <v>2748</v>
      </c>
    </row>
    <row r="253" spans="1:13" ht="85.5">
      <c r="A253" s="128" t="str">
        <f t="shared" si="9"/>
        <v>CheckerJ38</v>
      </c>
      <c r="B253" s="128" t="s">
        <v>2380</v>
      </c>
      <c r="C253" s="128" t="s">
        <v>2721</v>
      </c>
      <c r="G253"/>
      <c r="H253" s="319"/>
      <c r="I253" s="128" t="s">
        <v>2749</v>
      </c>
      <c r="J253" s="128" t="s">
        <v>2750</v>
      </c>
      <c r="K253" s="128" t="s">
        <v>2751</v>
      </c>
      <c r="L253" s="128" t="s">
        <v>2752</v>
      </c>
      <c r="M253" s="128" t="s">
        <v>2753</v>
      </c>
    </row>
    <row r="254" spans="1:13" ht="57">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7">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7">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85.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1.2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99.7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1.2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28.2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1.2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1.2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7"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1.2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7">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7">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57">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57" hidden="1">
      <c r="A272" s="128" t="str">
        <f t="shared" si="9"/>
        <v>CheckerJ58</v>
      </c>
      <c r="B272" s="128" t="s">
        <v>2380</v>
      </c>
      <c r="C272" s="128" t="s">
        <v>2906</v>
      </c>
      <c r="G272"/>
      <c r="H272" s="319"/>
      <c r="I272" s="128" t="s">
        <v>2928</v>
      </c>
      <c r="J272" s="128" t="s">
        <v>2929</v>
      </c>
      <c r="K272" s="128" t="s">
        <v>2930</v>
      </c>
      <c r="L272" s="128" t="s">
        <v>2931</v>
      </c>
      <c r="M272" s="128" t="s">
        <v>2932</v>
      </c>
    </row>
    <row r="273" spans="1:13" ht="57" hidden="1">
      <c r="A273" s="128" t="str">
        <f t="shared" si="9"/>
        <v>CheckerJ59</v>
      </c>
      <c r="B273" s="128" t="s">
        <v>2380</v>
      </c>
      <c r="C273" s="128" t="s">
        <v>2917</v>
      </c>
      <c r="G273"/>
      <c r="H273" s="319"/>
      <c r="I273" s="128" t="s">
        <v>2933</v>
      </c>
      <c r="J273" s="128" t="s">
        <v>2934</v>
      </c>
      <c r="K273" s="128" t="s">
        <v>2935</v>
      </c>
      <c r="L273" s="128" t="s">
        <v>2936</v>
      </c>
      <c r="M273" s="128" t="s">
        <v>2937</v>
      </c>
    </row>
    <row r="274" spans="1:13" ht="71.2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8.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8.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8.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8.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57">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7">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28.5">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8.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99.7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8.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2.7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85.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8.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2.7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85.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D1935F58-1AA6-4E3E-86E7-8E650F83CBA4}"/>
    </customSheetView>
    <customSheetView guid="{4BDF1A28-30D5-449D-B20E-D6C97EF9FAE1}" showAutoFilter="1">
      <selection activeCell="C174" sqref="C174"/>
      <pageMargins left="0" right="0" top="0" bottom="0" header="0" footer="0"/>
      <pageSetup paperSize="9" orientation="portrait"/>
      <autoFilter ref="B1:N1" xr:uid="{32E68C1C-B116-4CBB-A26A-762F14CAACC3}"/>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Yvonne Glöß</cp:lastModifiedBy>
  <cp:revision/>
  <cp:lastPrinted>2023-01-26T10:14:01Z</cp:lastPrinted>
  <dcterms:created xsi:type="dcterms:W3CDTF">2010-06-21T21:00:23Z</dcterms:created>
  <dcterms:modified xsi:type="dcterms:W3CDTF">2023-01-26T10:14:19Z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